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8e55550d-ca3c-407f-b5ca-533135604951\"/>
    </mc:Choice>
  </mc:AlternateContent>
  <xr:revisionPtr revIDLastSave="0" documentId="8_{5DF990DE-85B7-40C0-9B60-5531382AF6D3}" xr6:coauthVersionLast="47" xr6:coauthVersionMax="47" xr10:uidLastSave="{00000000-0000-0000-0000-000000000000}"/>
  <bookViews>
    <workbookView xWindow="1560" yWindow="1560" windowWidth="11520" windowHeight="7875"/>
  </bookViews>
  <sheets>
    <sheet name="MESCOM (2)" sheetId="20" r:id="rId1"/>
    <sheet name="MESCOM" sheetId="13" state="hidden" r:id="rId2"/>
    <sheet name="CESC" sheetId="14" state="hidden" r:id="rId3"/>
    <sheet name="HESCOM" sheetId="15" state="hidden" r:id="rId4"/>
    <sheet name="GESCOM" sheetId="16" state="hidden" r:id="rId5"/>
    <sheet name="Consolidated" sheetId="18" state="hidden" r:id="rId6"/>
    <sheet name="HRECS" sheetId="19" state="hidden" r:id="rId7"/>
    <sheet name="Sheet1" sheetId="12" state="hidden" r:id="rId8"/>
  </sheets>
  <externalReferences>
    <externalReference r:id="rId9"/>
  </externalReferences>
  <definedNames>
    <definedName name="_xlnm.Print_Area" localSheetId="2">CESC!$B$3:$L$45</definedName>
    <definedName name="_xlnm.Print_Area" localSheetId="5">Consolidated!$B$3:$L$47</definedName>
    <definedName name="_xlnm.Print_Area" localSheetId="4">GESCOM!$B$2:$L$44</definedName>
    <definedName name="_xlnm.Print_Area" localSheetId="3">HESCOM!$B$3:$L$46</definedName>
    <definedName name="_xlnm.Print_Area" localSheetId="6">HRECS!$B$3:$L$46</definedName>
    <definedName name="_xlnm.Print_Area" localSheetId="1">MESCOM!$B$3:$L$47</definedName>
    <definedName name="_xlnm.Print_Area" localSheetId="0">'MESCOM (2)'!$A$3:$K$47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0" l="1"/>
  <c r="D54" i="20"/>
  <c r="D53" i="20"/>
  <c r="D52" i="20"/>
  <c r="D51" i="20"/>
  <c r="G38" i="20"/>
  <c r="G39" i="20" s="1"/>
  <c r="F38" i="20"/>
  <c r="E38" i="20"/>
  <c r="D38" i="20"/>
  <c r="D39" i="20"/>
  <c r="D43" i="20"/>
  <c r="H37" i="20"/>
  <c r="H36" i="20"/>
  <c r="H35" i="20"/>
  <c r="H32" i="20"/>
  <c r="H31" i="20"/>
  <c r="H30" i="20"/>
  <c r="H29" i="20"/>
  <c r="H28" i="20"/>
  <c r="H27" i="20"/>
  <c r="G26" i="20"/>
  <c r="H26" i="20" s="1"/>
  <c r="F26" i="20"/>
  <c r="E26" i="20"/>
  <c r="E39" i="20" s="1"/>
  <c r="E43" i="20" s="1"/>
  <c r="D26" i="20"/>
  <c r="H25" i="20"/>
  <c r="H24" i="20"/>
  <c r="H23" i="20"/>
  <c r="H22" i="20"/>
  <c r="H21" i="20"/>
  <c r="H20" i="20"/>
  <c r="H19" i="20"/>
  <c r="H17" i="20"/>
  <c r="H16" i="20"/>
  <c r="H15" i="20"/>
  <c r="H14" i="20"/>
  <c r="H12" i="20"/>
  <c r="H11" i="20"/>
  <c r="H10" i="20"/>
  <c r="H9" i="20"/>
  <c r="H8" i="20"/>
  <c r="H23" i="15"/>
  <c r="H23" i="18" s="1"/>
  <c r="I23" i="18" s="1"/>
  <c r="G23" i="15"/>
  <c r="F23" i="15"/>
  <c r="F23" i="18" s="1"/>
  <c r="H31" i="18"/>
  <c r="I31" i="18" s="1"/>
  <c r="G31" i="18"/>
  <c r="F31" i="18"/>
  <c r="E31" i="18"/>
  <c r="F30" i="18"/>
  <c r="G30" i="18"/>
  <c r="H30" i="18"/>
  <c r="E30" i="18"/>
  <c r="H29" i="18"/>
  <c r="G29" i="18"/>
  <c r="F29" i="18"/>
  <c r="E29" i="18"/>
  <c r="F28" i="18"/>
  <c r="G28" i="18"/>
  <c r="H28" i="18"/>
  <c r="E28" i="18"/>
  <c r="H42" i="18"/>
  <c r="E44" i="18"/>
  <c r="G44" i="18"/>
  <c r="F44" i="18"/>
  <c r="F34" i="18"/>
  <c r="G34" i="18"/>
  <c r="H34" i="18"/>
  <c r="I34" i="18" s="1"/>
  <c r="E34" i="18"/>
  <c r="F33" i="18"/>
  <c r="G33" i="18"/>
  <c r="H33" i="18"/>
  <c r="E33" i="18"/>
  <c r="F32" i="18"/>
  <c r="G32" i="18"/>
  <c r="H32" i="18"/>
  <c r="I32" i="18" s="1"/>
  <c r="E32" i="18"/>
  <c r="H27" i="18"/>
  <c r="H40" i="18" s="1"/>
  <c r="G27" i="18"/>
  <c r="G40" i="18" s="1"/>
  <c r="G41" i="18" s="1"/>
  <c r="G43" i="18" s="1"/>
  <c r="F27" i="18"/>
  <c r="F40" i="18"/>
  <c r="F41" i="18" s="1"/>
  <c r="F43" i="18" s="1"/>
  <c r="E27" i="18"/>
  <c r="E40" i="18"/>
  <c r="E41" i="18" s="1"/>
  <c r="E43" i="18" s="1"/>
  <c r="H9" i="18"/>
  <c r="I9" i="18" s="1"/>
  <c r="H10" i="18"/>
  <c r="I10" i="18" s="1"/>
  <c r="H11" i="18"/>
  <c r="I11" i="18" s="1"/>
  <c r="H12" i="18"/>
  <c r="H13" i="18"/>
  <c r="H14" i="18"/>
  <c r="H15" i="18"/>
  <c r="H16" i="18"/>
  <c r="I16" i="18" s="1"/>
  <c r="H17" i="18"/>
  <c r="I17" i="18" s="1"/>
  <c r="H18" i="18"/>
  <c r="H19" i="18"/>
  <c r="I19" i="18" s="1"/>
  <c r="H20" i="18"/>
  <c r="H21" i="18"/>
  <c r="H22" i="18"/>
  <c r="H24" i="18"/>
  <c r="H25" i="18"/>
  <c r="I25" i="18" s="1"/>
  <c r="G9" i="18"/>
  <c r="G10" i="18"/>
  <c r="G11" i="18"/>
  <c r="G12" i="18"/>
  <c r="G13" i="18"/>
  <c r="G14" i="18"/>
  <c r="I14" i="18"/>
  <c r="G15" i="18"/>
  <c r="I15" i="18"/>
  <c r="G16" i="18"/>
  <c r="G17" i="18"/>
  <c r="G18" i="18"/>
  <c r="G19" i="18"/>
  <c r="G20" i="18"/>
  <c r="G21" i="18"/>
  <c r="I21" i="18"/>
  <c r="G22" i="18"/>
  <c r="G23" i="18"/>
  <c r="G24" i="18"/>
  <c r="G25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4" i="18"/>
  <c r="F25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H8" i="18"/>
  <c r="H26" i="18"/>
  <c r="I26" i="18" s="1"/>
  <c r="G8" i="18"/>
  <c r="I8" i="18" s="1"/>
  <c r="G26" i="18"/>
  <c r="F8" i="18"/>
  <c r="F26" i="18"/>
  <c r="E8" i="18"/>
  <c r="E26" i="18"/>
  <c r="E52" i="19"/>
  <c r="E51" i="19"/>
  <c r="E50" i="19"/>
  <c r="E49" i="19"/>
  <c r="H38" i="19"/>
  <c r="G38" i="19"/>
  <c r="I38" i="19" s="1"/>
  <c r="F38" i="19"/>
  <c r="E38" i="19"/>
  <c r="I37" i="19"/>
  <c r="I36" i="19"/>
  <c r="I35" i="19"/>
  <c r="I34" i="19"/>
  <c r="I33" i="19"/>
  <c r="I32" i="19"/>
  <c r="I31" i="19"/>
  <c r="I30" i="19"/>
  <c r="I29" i="19"/>
  <c r="I28" i="19"/>
  <c r="I27" i="19"/>
  <c r="H26" i="19"/>
  <c r="H39" i="19"/>
  <c r="G26" i="19"/>
  <c r="O30" i="19" s="1"/>
  <c r="M26" i="19"/>
  <c r="F26" i="19"/>
  <c r="F39" i="19" s="1"/>
  <c r="F42" i="19" s="1"/>
  <c r="E26" i="19"/>
  <c r="E39" i="19"/>
  <c r="E42" i="19"/>
  <c r="I25" i="19"/>
  <c r="I24" i="19"/>
  <c r="O23" i="19"/>
  <c r="I23" i="19"/>
  <c r="I22" i="19"/>
  <c r="I21" i="19"/>
  <c r="O18" i="19"/>
  <c r="I18" i="19"/>
  <c r="I17" i="19"/>
  <c r="I16" i="19"/>
  <c r="I15" i="19"/>
  <c r="I14" i="19"/>
  <c r="O13" i="19"/>
  <c r="I13" i="19"/>
  <c r="I12" i="19"/>
  <c r="I11" i="19"/>
  <c r="I10" i="19"/>
  <c r="I9" i="19"/>
  <c r="I8" i="19"/>
  <c r="Q12" i="18"/>
  <c r="N16" i="18"/>
  <c r="F25" i="16"/>
  <c r="M25" i="16"/>
  <c r="P42" i="18"/>
  <c r="M42" i="18"/>
  <c r="N42" i="18"/>
  <c r="O42" i="18"/>
  <c r="E35" i="18"/>
  <c r="F35" i="18"/>
  <c r="G35" i="18"/>
  <c r="H35" i="18"/>
  <c r="E36" i="18"/>
  <c r="F36" i="18"/>
  <c r="G36" i="18"/>
  <c r="H36" i="18"/>
  <c r="E37" i="18"/>
  <c r="F37" i="18"/>
  <c r="G37" i="18"/>
  <c r="H37" i="18"/>
  <c r="E38" i="18"/>
  <c r="F38" i="18"/>
  <c r="G38" i="18"/>
  <c r="H38" i="18"/>
  <c r="I38" i="18" s="1"/>
  <c r="E39" i="18"/>
  <c r="F39" i="18"/>
  <c r="G39" i="18"/>
  <c r="H39" i="18"/>
  <c r="M28" i="18"/>
  <c r="H37" i="16"/>
  <c r="H25" i="16"/>
  <c r="G25" i="16"/>
  <c r="I25" i="16"/>
  <c r="G26" i="15"/>
  <c r="G39" i="15" s="1"/>
  <c r="G42" i="15" s="1"/>
  <c r="H26" i="13"/>
  <c r="E51" i="16"/>
  <c r="E50" i="16"/>
  <c r="E49" i="16"/>
  <c r="E48" i="16"/>
  <c r="G37" i="16"/>
  <c r="O40" i="18" s="1"/>
  <c r="I37" i="16"/>
  <c r="F37" i="16"/>
  <c r="E37" i="16"/>
  <c r="I36" i="16"/>
  <c r="I35" i="16"/>
  <c r="I32" i="16"/>
  <c r="I31" i="16"/>
  <c r="I30" i="16"/>
  <c r="I29" i="16"/>
  <c r="I28" i="16"/>
  <c r="I27" i="16"/>
  <c r="I26" i="16"/>
  <c r="E25" i="16"/>
  <c r="I23" i="16"/>
  <c r="I22" i="16"/>
  <c r="I21" i="16"/>
  <c r="I20" i="16"/>
  <c r="I19" i="16"/>
  <c r="N18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E52" i="15"/>
  <c r="E51" i="15"/>
  <c r="E50" i="15"/>
  <c r="E49" i="15"/>
  <c r="H38" i="15"/>
  <c r="I38" i="15" s="1"/>
  <c r="G38" i="15"/>
  <c r="F38" i="15"/>
  <c r="E38" i="15"/>
  <c r="I37" i="15"/>
  <c r="I36" i="15"/>
  <c r="I35" i="15"/>
  <c r="I34" i="15"/>
  <c r="I33" i="15"/>
  <c r="I32" i="15"/>
  <c r="I31" i="15"/>
  <c r="I30" i="15"/>
  <c r="I29" i="15"/>
  <c r="I28" i="15"/>
  <c r="I27" i="15"/>
  <c r="E26" i="15"/>
  <c r="E39" i="15"/>
  <c r="E42" i="15"/>
  <c r="I25" i="15"/>
  <c r="I24" i="15"/>
  <c r="O23" i="15"/>
  <c r="I22" i="15"/>
  <c r="I21" i="15"/>
  <c r="I20" i="15"/>
  <c r="I19" i="15"/>
  <c r="O18" i="15"/>
  <c r="I18" i="15"/>
  <c r="I17" i="15"/>
  <c r="I16" i="15"/>
  <c r="I15" i="15"/>
  <c r="I14" i="15"/>
  <c r="O13" i="15"/>
  <c r="I13" i="15"/>
  <c r="I12" i="15"/>
  <c r="I11" i="15"/>
  <c r="I10" i="15"/>
  <c r="I9" i="15"/>
  <c r="I8" i="15"/>
  <c r="E52" i="14"/>
  <c r="E51" i="14"/>
  <c r="E50" i="14"/>
  <c r="E49" i="14"/>
  <c r="H38" i="14"/>
  <c r="H39" i="14" s="1"/>
  <c r="G38" i="14"/>
  <c r="F38" i="14"/>
  <c r="F39" i="14" s="1"/>
  <c r="F41" i="14" s="1"/>
  <c r="E38" i="14"/>
  <c r="E39" i="14" s="1"/>
  <c r="E41" i="14" s="1"/>
  <c r="I37" i="14"/>
  <c r="B37" i="14"/>
  <c r="I36" i="14"/>
  <c r="I35" i="14"/>
  <c r="I32" i="14"/>
  <c r="I31" i="14"/>
  <c r="I30" i="14"/>
  <c r="I29" i="14"/>
  <c r="I28" i="14"/>
  <c r="I27" i="14"/>
  <c r="H26" i="14"/>
  <c r="I26" i="14" s="1"/>
  <c r="G26" i="14"/>
  <c r="G39" i="14" s="1"/>
  <c r="G41" i="14" s="1"/>
  <c r="F26" i="14"/>
  <c r="E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E54" i="13"/>
  <c r="E56" i="13" s="1"/>
  <c r="E53" i="13"/>
  <c r="E52" i="13"/>
  <c r="E51" i="13"/>
  <c r="H38" i="13"/>
  <c r="P40" i="18" s="1"/>
  <c r="G38" i="13"/>
  <c r="G39" i="13" s="1"/>
  <c r="G43" i="13" s="1"/>
  <c r="I38" i="13"/>
  <c r="F38" i="13"/>
  <c r="F39" i="13" s="1"/>
  <c r="F43" i="13" s="1"/>
  <c r="E38" i="13"/>
  <c r="E39" i="13" s="1"/>
  <c r="E43" i="13" s="1"/>
  <c r="N43" i="13" s="1"/>
  <c r="I37" i="13"/>
  <c r="I36" i="13"/>
  <c r="I35" i="13"/>
  <c r="I32" i="13"/>
  <c r="I31" i="13"/>
  <c r="I30" i="13"/>
  <c r="I29" i="13"/>
  <c r="I28" i="13"/>
  <c r="I27" i="13"/>
  <c r="G26" i="13"/>
  <c r="I26" i="13" s="1"/>
  <c r="F26" i="13"/>
  <c r="E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F8" i="12"/>
  <c r="E7" i="12"/>
  <c r="D7" i="12"/>
  <c r="B7" i="12"/>
  <c r="E9" i="12"/>
  <c r="E8" i="12"/>
  <c r="E6" i="12"/>
  <c r="D9" i="12"/>
  <c r="C9" i="12"/>
  <c r="C5" i="12"/>
  <c r="C3" i="12"/>
  <c r="C6" i="12"/>
  <c r="D5" i="12"/>
  <c r="F6" i="12"/>
  <c r="E5" i="12"/>
  <c r="C4" i="12"/>
  <c r="B9" i="12"/>
  <c r="B8" i="12"/>
  <c r="B6" i="12"/>
  <c r="E3" i="12"/>
  <c r="D4" i="12"/>
  <c r="D6" i="12"/>
  <c r="D3" i="12"/>
  <c r="C8" i="12"/>
  <c r="E4" i="12"/>
  <c r="B3" i="12"/>
  <c r="B5" i="12"/>
  <c r="B4" i="12"/>
  <c r="F7" i="12"/>
  <c r="F3" i="12"/>
  <c r="F4" i="12"/>
  <c r="F5" i="12"/>
  <c r="G7" i="12"/>
  <c r="G3" i="12"/>
  <c r="C7" i="12"/>
  <c r="G5" i="12"/>
  <c r="G4" i="12"/>
  <c r="F9" i="12"/>
  <c r="B11" i="12"/>
  <c r="G9" i="12"/>
  <c r="G8" i="12"/>
  <c r="B10" i="12"/>
  <c r="G6" i="12"/>
  <c r="F10" i="12"/>
  <c r="F11" i="12"/>
  <c r="E10" i="12"/>
  <c r="E11" i="12"/>
  <c r="D8" i="12"/>
  <c r="D10" i="12"/>
  <c r="D11" i="12"/>
  <c r="C11" i="12"/>
  <c r="C10" i="12"/>
  <c r="G11" i="12"/>
  <c r="G10" i="12"/>
  <c r="H38" i="16"/>
  <c r="H40" i="16" s="1"/>
  <c r="F38" i="16"/>
  <c r="F40" i="16"/>
  <c r="E38" i="16"/>
  <c r="E40" i="16" s="1"/>
  <c r="H42" i="19"/>
  <c r="I42" i="19" s="1"/>
  <c r="G39" i="19"/>
  <c r="I39" i="19" s="1"/>
  <c r="G42" i="19"/>
  <c r="I26" i="19"/>
  <c r="N12" i="13"/>
  <c r="H39" i="13"/>
  <c r="I39" i="13" s="1"/>
  <c r="H43" i="13"/>
  <c r="E55" i="13" s="1"/>
  <c r="I23" i="15"/>
  <c r="F39" i="20"/>
  <c r="F43" i="20" s="1"/>
  <c r="G38" i="16"/>
  <c r="G40" i="16" s="1"/>
  <c r="G41" i="16" s="1"/>
  <c r="M26" i="18"/>
  <c r="M41" i="18" s="1"/>
  <c r="M43" i="18" s="1"/>
  <c r="M40" i="18"/>
  <c r="I24" i="18"/>
  <c r="I29" i="18"/>
  <c r="I12" i="18"/>
  <c r="I28" i="18"/>
  <c r="I22" i="18"/>
  <c r="I20" i="18"/>
  <c r="I18" i="18"/>
  <c r="I39" i="18"/>
  <c r="I13" i="18"/>
  <c r="I37" i="18"/>
  <c r="I35" i="18"/>
  <c r="I33" i="18"/>
  <c r="I30" i="18"/>
  <c r="E54" i="18"/>
  <c r="I27" i="18"/>
  <c r="O43" i="18" l="1"/>
  <c r="I40" i="18"/>
  <c r="H41" i="18"/>
  <c r="P43" i="13"/>
  <c r="I43" i="13"/>
  <c r="I39" i="14"/>
  <c r="H41" i="14"/>
  <c r="E54" i="19"/>
  <c r="E52" i="16"/>
  <c r="E53" i="16" s="1"/>
  <c r="I40" i="16"/>
  <c r="G43" i="20"/>
  <c r="H39" i="20"/>
  <c r="J45" i="13"/>
  <c r="O43" i="13"/>
  <c r="I38" i="14"/>
  <c r="E53" i="18"/>
  <c r="O30" i="15"/>
  <c r="H26" i="15"/>
  <c r="O26" i="18"/>
  <c r="O41" i="18" s="1"/>
  <c r="F26" i="15"/>
  <c r="N26" i="18" s="1"/>
  <c r="E52" i="18"/>
  <c r="E57" i="18" s="1"/>
  <c r="E55" i="18"/>
  <c r="N40" i="18"/>
  <c r="N43" i="18" s="1"/>
  <c r="H38" i="20"/>
  <c r="I38" i="16"/>
  <c r="E53" i="19"/>
  <c r="I41" i="18" l="1"/>
  <c r="E56" i="18"/>
  <c r="H43" i="18"/>
  <c r="N41" i="18"/>
  <c r="F39" i="15"/>
  <c r="F42" i="15" s="1"/>
  <c r="E53" i="14"/>
  <c r="E54" i="14" s="1"/>
  <c r="I41" i="14"/>
  <c r="M26" i="15"/>
  <c r="H39" i="15"/>
  <c r="I26" i="15"/>
  <c r="P26" i="18"/>
  <c r="D55" i="20"/>
  <c r="D56" i="20" s="1"/>
  <c r="N43" i="20"/>
  <c r="H43" i="20"/>
  <c r="P41" i="18" l="1"/>
  <c r="P43" i="18"/>
  <c r="P44" i="18"/>
  <c r="I43" i="18"/>
  <c r="H42" i="15"/>
  <c r="I39" i="15"/>
  <c r="I42" i="15" l="1"/>
  <c r="E53" i="15"/>
  <c r="E54" i="15" s="1"/>
</calcChain>
</file>

<file path=xl/sharedStrings.xml><?xml version="1.0" encoding="utf-8"?>
<sst xmlns="http://schemas.openxmlformats.org/spreadsheetml/2006/main" count="638" uniqueCount="157">
  <si>
    <t>Approved  as per RST</t>
  </si>
  <si>
    <t>Sl No</t>
  </si>
  <si>
    <t>Category</t>
  </si>
  <si>
    <t>Description</t>
  </si>
  <si>
    <t>Sales-MU</t>
  </si>
  <si>
    <t>Revenue  Rs. crores</t>
  </si>
  <si>
    <t>LT-1[fully subsidised by GoK]*</t>
  </si>
  <si>
    <t>LT-2(a)(i)</t>
  </si>
  <si>
    <t>LT-2(a)(ii)</t>
  </si>
  <si>
    <t>Dom. / AEH - Applicable to areas coming under Village Panchayats</t>
  </si>
  <si>
    <t>LT-2(b)(i)</t>
  </si>
  <si>
    <t>LT-2(b)(ii)</t>
  </si>
  <si>
    <t>Pvt. Educational Institutions Applicable to areas coming under Village Panchayats</t>
  </si>
  <si>
    <t>LT-3(i)</t>
  </si>
  <si>
    <t>LT-3(ii)</t>
  </si>
  <si>
    <t>Commercial - Applicable to areas coming under Village Panchayats</t>
  </si>
  <si>
    <t>LT-4(a)(i)*</t>
  </si>
  <si>
    <t>LT-4(b)</t>
  </si>
  <si>
    <t>IP&gt;10HP</t>
  </si>
  <si>
    <t>LT-5(a)</t>
  </si>
  <si>
    <t>LT-5(b)</t>
  </si>
  <si>
    <t>LT-6</t>
  </si>
  <si>
    <t>Water supply</t>
  </si>
  <si>
    <t>Public lighting</t>
  </si>
  <si>
    <t>Temporary supply</t>
  </si>
  <si>
    <t>LT - TOTAL</t>
  </si>
  <si>
    <t>HT-1</t>
  </si>
  <si>
    <t>Water supply &amp; sewerage</t>
  </si>
  <si>
    <t>HT-2(a)(ii)</t>
  </si>
  <si>
    <t>HT-2(b)(ii)</t>
  </si>
  <si>
    <t>HT-3(a)(i)</t>
  </si>
  <si>
    <t>HT-3(a)(ii)</t>
  </si>
  <si>
    <t>HT - 3b</t>
  </si>
  <si>
    <t>HT-4(a)</t>
  </si>
  <si>
    <t>HT - TOTAL</t>
  </si>
  <si>
    <t>TOTAL</t>
  </si>
  <si>
    <t>Grand Total</t>
  </si>
  <si>
    <t>HT-3(a)(iii)</t>
  </si>
  <si>
    <t xml:space="preserve"> Pvt  Nurseries, Coffee&amp;Tea Plantations of sanctioned load above 10 HP. </t>
  </si>
  <si>
    <t xml:space="preserve">Misc. Revenue </t>
  </si>
  <si>
    <t xml:space="preserve">IP&lt;=10HP </t>
  </si>
  <si>
    <t>Pvt. Educational Institutions Bruhat Bangalore Mahanagara Palike(BBMP), Municipal Corporations &amp; all areas under Urban Local Bodies .</t>
  </si>
  <si>
    <t>Dom. / AEH - Applicable to Bruhat Bangalore Mahanagara Palike(BBMP), Municipal Corporations &amp; all areas under Urban Local Bodies .</t>
  </si>
  <si>
    <t>Commercial - Application to Bruhat Bangalore Mahanagara Palike(BBMP), Municipal Corporations &amp; all areas under Urban Local Bodies .</t>
  </si>
  <si>
    <t xml:space="preserve"> Pvt  Nurseries, Coffee&amp;Tea Plantations of sanctioned load of 10 HP&amp; below </t>
  </si>
  <si>
    <t xml:space="preserve">Industrial - Applicable to Bruhat Bangalore Mahanagara Palike(BBMP), Municipal Corporations </t>
  </si>
  <si>
    <t>Industrial - Applicable to all  areas other than those covered under LT5(a)</t>
  </si>
  <si>
    <t xml:space="preserve">Industrial - Applicable to Bangalore  Mahanagara Palike(BBMP) and Municipall Corporation. </t>
  </si>
  <si>
    <t>Industrial - Applicable to areas other than those under HT2(a) (i)</t>
  </si>
  <si>
    <t>Commercial - Applicable to areas under Bangalore  Mahanagara Palike  Municipal Corporation.</t>
  </si>
  <si>
    <t>Commercial - Applicable to areas other than those covered under HT2(b) (i)</t>
  </si>
  <si>
    <t>Lift Irrigation - Applicable to Lift Irrigation Schemes under Govt. Depts/ Govt. owned Corporations.</t>
  </si>
  <si>
    <t>Lift Irrigation - Applicable to Lift Irrigation schemes Lift Irrigation Societies connected to Urban/Express feeders.</t>
  </si>
  <si>
    <t>Lift Irrigation - Applicable to Private lift irrigation schemes &amp; L I societies other than those covered  under HT-3(a) (ii)</t>
  </si>
  <si>
    <t>LT-4 (c) (i)</t>
  </si>
  <si>
    <t>LT-4 (c) (ii)</t>
  </si>
  <si>
    <t>Irrigation &amp; Agriculture Farms,Govt. Horticultural Farms, Pvt.Horticulture Nurseries, Coffee, Tea,Cocanut &amp; Arecanut Plantations</t>
  </si>
  <si>
    <t>Total</t>
  </si>
  <si>
    <t>Domestic</t>
  </si>
  <si>
    <t>Commercial</t>
  </si>
  <si>
    <t>Industries</t>
  </si>
  <si>
    <t>Agriculture</t>
  </si>
  <si>
    <t>Others</t>
  </si>
  <si>
    <t>HT-5</t>
  </si>
  <si>
    <t>Residential Apartments - Colonies</t>
  </si>
  <si>
    <t>HT-2( c) (i)</t>
  </si>
  <si>
    <t>HT-2( c) (ii)</t>
  </si>
  <si>
    <t>Govt./ Aided Hospitals &amp; Educational Institutions</t>
  </si>
  <si>
    <t>Hospitals and Educational Institutions other than covered under HT-2( c) (i)</t>
  </si>
  <si>
    <t>Average Realisation in Rs. Per Kwh</t>
  </si>
  <si>
    <t>* These categories are subsidised by GoK. In case subsidy is not released by the Gok in advance,BESCOM</t>
  </si>
  <si>
    <t>Level of Cross Subsidy in % (LT&amp;HT)</t>
  </si>
  <si>
    <t>Level of Cross Subsidy in % (EHT)</t>
  </si>
  <si>
    <t>With ref. to ACS</t>
  </si>
  <si>
    <t xml:space="preserve"> Level of Cross Subsidy in %</t>
  </si>
  <si>
    <t>With ref. to voltage wise COS*</t>
  </si>
  <si>
    <t>Permanent Supply to Adversiting &amp; Holding</t>
  </si>
  <si>
    <t>LT-7(a)</t>
  </si>
  <si>
    <t>LT-7(b)</t>
  </si>
  <si>
    <t>Bhagya Jyothi/Kutir Jyothi &lt; 40 Units</t>
  </si>
  <si>
    <t>Bhagya Jyothi/Kutir Jyothi &gt; 40 Units</t>
  </si>
  <si>
    <t>* Voltage wise cost of supply per unit to: LT Rs: 7.04, HT Rs.6.31 &amp; EHT- Rs.6.06</t>
  </si>
  <si>
    <t>LT-1</t>
  </si>
  <si>
    <r>
      <t xml:space="preserve">shall raise demand &amp; collect CDT of </t>
    </r>
    <r>
      <rPr>
        <b/>
        <sz val="8"/>
        <rFont val="Arial"/>
        <family val="2"/>
      </rPr>
      <t>Rs.6.80/</t>
    </r>
    <r>
      <rPr>
        <sz val="8"/>
        <rFont val="Arial"/>
        <family val="2"/>
      </rPr>
      <t xml:space="preserve">unit by BJ/KJ &amp; </t>
    </r>
    <r>
      <rPr>
        <b/>
        <sz val="8"/>
        <rFont val="Arial"/>
        <family val="2"/>
      </rPr>
      <t xml:space="preserve">Rs.3.70 </t>
    </r>
    <r>
      <rPr>
        <sz val="8"/>
        <rFont val="Arial"/>
        <family val="2"/>
      </rPr>
      <t>/unit from IP set Consumers.</t>
    </r>
  </si>
  <si>
    <t>Page  - 257</t>
  </si>
  <si>
    <t xml:space="preserve">                            Annexure- III</t>
  </si>
  <si>
    <t>PROPOSED AND APPROVED REVENUE AND REALISATION AND LEVEL OF CROSS SUBSIDY FOR FY20 OF MESCOM</t>
  </si>
  <si>
    <t>Proposed by MESCOM</t>
  </si>
  <si>
    <t>Dom. / AEH - Applicable to City Municipal Corporations areas and all area under Urban Local Bodies.</t>
  </si>
  <si>
    <t>Dom. / AEH - Applicable to areas  under Village Panchayats</t>
  </si>
  <si>
    <t xml:space="preserve">Pvt. Educational Institutions Applicable to all areas of Local Bodies including City Corporations </t>
  </si>
  <si>
    <t>Pvt. Educational Institutions Applicable to areas  under Village Panchayats</t>
  </si>
  <si>
    <t>Commercial - Applicable in areas under all ULBs including City Corporations.</t>
  </si>
  <si>
    <t>Commercial - Applicable to areas under Village Panchayats</t>
  </si>
  <si>
    <t>LT-4(a)*</t>
  </si>
  <si>
    <t xml:space="preserve">  Pvt. Nurseries, Coffee &amp; Tea Plantations of sanctioned load of 10 HP &amp; below</t>
  </si>
  <si>
    <t xml:space="preserve">  Pvt. Nurseries, Coffee &amp; Tea Plantations of sanctioned load of above 10 HP </t>
  </si>
  <si>
    <t>LT-5 (a)</t>
  </si>
  <si>
    <t xml:space="preserve">LT Industrial </t>
  </si>
  <si>
    <t>LT-5 (b)</t>
  </si>
  <si>
    <t>LT-7 (b)</t>
  </si>
  <si>
    <t>HT-2(a)</t>
  </si>
  <si>
    <t xml:space="preserve">Industrial - </t>
  </si>
  <si>
    <t>HT-2(b)</t>
  </si>
  <si>
    <t xml:space="preserve">Commercial </t>
  </si>
  <si>
    <t>HT-2 ( c)(i)</t>
  </si>
  <si>
    <t>HT-2 ( c)(ii)</t>
  </si>
  <si>
    <t xml:space="preserve">Lift Irrigation - Applicable to lift irrigation schemes under Govt Dept, / Govt. owned Corporations </t>
  </si>
  <si>
    <t>Lift Irrigation - Applicable to Private lift irrigation schemes Lift Irrigaton societies on urban/express feeders</t>
  </si>
  <si>
    <t>LI schemes other than those covered under HT 3(a)(ii)</t>
  </si>
  <si>
    <t>HT-4</t>
  </si>
  <si>
    <t>Residential Apartments -Colonies</t>
  </si>
  <si>
    <t xml:space="preserve">KPC/ Wheeled </t>
  </si>
  <si>
    <t>Proposed Supply to MSEZ @ IF Points</t>
  </si>
  <si>
    <t>* These categories are subsidised by GoK. In case subsidy is not released by the Gok in advance,MESCOM</t>
  </si>
  <si>
    <r>
      <t xml:space="preserve">shall raise demand &amp; collect CDT of Rs.6.86 </t>
    </r>
    <r>
      <rPr>
        <sz val="8"/>
        <rFont val="Arial"/>
        <family val="2"/>
      </rPr>
      <t>unit by BJ/KJ &amp; Rs.5.31/unit from IP set Consumers.</t>
    </r>
  </si>
  <si>
    <t>* Voltage wise cost of supply per unit to: LT Rs: 7.00, HT Rs.6.42 &amp; EHT- Rs.6.13</t>
  </si>
  <si>
    <t xml:space="preserve"> Page    205</t>
  </si>
  <si>
    <t xml:space="preserve">Annexure- III </t>
  </si>
  <si>
    <t>PROPOSED AND APPROVED REVENUE AND REALISATION AND LEVEL OF CROSS SUBSIDY FOR FY20 OF CESC</t>
  </si>
  <si>
    <t>Proposed by CESC</t>
  </si>
  <si>
    <t xml:space="preserve"> Level of Cross Subsidy with ref.to Average cost of supply in %</t>
  </si>
  <si>
    <t>Cross Subsidy with ref. to ACS % (LT/HT)</t>
  </si>
  <si>
    <t>Cross Subsidy in with ref. toVoltage wise COS % (EHT)</t>
  </si>
  <si>
    <t>LT-6(a)</t>
  </si>
  <si>
    <t>LT-6(b)</t>
  </si>
  <si>
    <t>HT-2 ( c) (i)</t>
  </si>
  <si>
    <t>HT-2 ( c) (ii)</t>
  </si>
  <si>
    <t>* These categories are subsidised by GoK. In case subsidy is not released by the Gok in advance, CESC</t>
  </si>
  <si>
    <t xml:space="preserve">              Page -  226</t>
  </si>
  <si>
    <t>Annexure - III</t>
  </si>
  <si>
    <t>PROPOSED AND APPROVED REVENUE AND REALISATION AND LEVEL OF CROSS SUBSIDY  FOR FY-20 OF HESCOM</t>
  </si>
  <si>
    <t>Proposed by HESCOM</t>
  </si>
  <si>
    <t>Industrial</t>
  </si>
  <si>
    <t>Power supply to Hukeri RECS @ IF Points (Including AEQUS SEZ)</t>
  </si>
  <si>
    <t>* These categories are subsidised by GoK. In case subsidy is not released by the Gok in advance, HESCOM</t>
  </si>
  <si>
    <r>
      <t>shall raise demand &amp; collect CDT of Rs.</t>
    </r>
    <r>
      <rPr>
        <b/>
        <sz val="8"/>
        <rFont val="Arial"/>
        <family val="2"/>
      </rPr>
      <t>6.80</t>
    </r>
    <r>
      <rPr>
        <sz val="8"/>
        <rFont val="Arial"/>
        <family val="2"/>
      </rPr>
      <t>/unit by BJ/KJ &amp; Rs.</t>
    </r>
    <r>
      <rPr>
        <b/>
        <sz val="8"/>
        <rFont val="Arial"/>
        <family val="2"/>
      </rPr>
      <t>6.24</t>
    </r>
    <r>
      <rPr>
        <sz val="8"/>
        <rFont val="Arial"/>
        <family val="2"/>
      </rPr>
      <t>/unit from IP set Consumers.</t>
    </r>
  </si>
  <si>
    <t>* Voltage wise cost of supply per unit to: LT Rs: 6.93, HT Rs.6.22 &amp; EHT- Rs.5.85</t>
  </si>
  <si>
    <t xml:space="preserve">         Page -  229</t>
  </si>
  <si>
    <t>Annexure-III</t>
  </si>
  <si>
    <t>PROPOSED AND APPROVED REVENUE AND REALISATION AND LEVEL OF CROSS SUBSIDY FOR FY-20 OF GESCOM</t>
  </si>
  <si>
    <t>Proposed by GESCOM</t>
  </si>
  <si>
    <t xml:space="preserve">hubli </t>
  </si>
  <si>
    <t>* These categories are subsidised by GoK. In case subsidy is not released by the Gok in advance, GESCOM</t>
  </si>
  <si>
    <t>shall raise demand &amp; collect CDT of Rs.6.74/unit by BJ/KJ &amp;Rs.5.71/unit from IP set Consumers.</t>
  </si>
  <si>
    <r>
      <t xml:space="preserve">* Voltage wise cost of supply per unit to: LT Rs: </t>
    </r>
    <r>
      <rPr>
        <b/>
        <sz val="8"/>
        <rFont val="Arial"/>
        <family val="2"/>
      </rPr>
      <t>6.86</t>
    </r>
    <r>
      <rPr>
        <sz val="8"/>
        <rFont val="Arial"/>
        <family val="2"/>
      </rPr>
      <t>, HT Rs.6.33 &amp; EHT- Rs.6.04</t>
    </r>
  </si>
  <si>
    <t xml:space="preserve">              Page - 228</t>
  </si>
  <si>
    <t>* Voltage wise cost of supply per unit to: LT Rs:6.39, HT Rs.7.44 &amp; EHT- Rs.6.93</t>
  </si>
  <si>
    <r>
      <t>shall raise demand &amp; collect CDT of Rs</t>
    </r>
    <r>
      <rPr>
        <b/>
        <sz val="8"/>
        <rFont val="Arial"/>
        <family val="2"/>
      </rPr>
      <t>.6.93</t>
    </r>
    <r>
      <rPr>
        <sz val="8"/>
        <rFont val="Arial"/>
        <family val="2"/>
      </rPr>
      <t>/unit by BJ/KJ &amp;Rs.</t>
    </r>
    <r>
      <rPr>
        <b/>
        <sz val="8"/>
        <rFont val="Arial"/>
        <family val="2"/>
      </rPr>
      <t>5.72</t>
    </r>
    <r>
      <rPr>
        <sz val="8"/>
        <rFont val="Arial"/>
        <family val="2"/>
      </rPr>
      <t>/unit from IP set Consumers.</t>
    </r>
  </si>
  <si>
    <t xml:space="preserve">CONSOLIDATED PROPOSED AND APPROVED REVENUE AND REALISATION AND LEVEL OF CROSS SUBSIDY FOR FY20 </t>
  </si>
  <si>
    <t xml:space="preserve">Proposed </t>
  </si>
  <si>
    <t>PROPOSED AND APPROVED REVENUE AND REALISATION AND LEVEL OF CROSS SUBSIDY  FOR FY-20 OF HRECS</t>
  </si>
  <si>
    <t xml:space="preserve">                            Annexure- 3</t>
  </si>
  <si>
    <t>PROPOSED AND APPROVED REVENUE AND REALISATION AND LEVEL OF CROSS SUBSIDY FOR FY21 OF MESCOM</t>
  </si>
  <si>
    <t>* Voltage wise cost of supply per unit to: LT Rs: 7.77, HT Rs.7.17 &amp; EHT- Rs.6.88</t>
  </si>
  <si>
    <r>
      <t xml:space="preserve">shall raise demand &amp; collect CDT of </t>
    </r>
    <r>
      <rPr>
        <b/>
        <sz val="8"/>
        <rFont val="Arial"/>
        <family val="2"/>
      </rPr>
      <t>Rs.7.61 per unit</t>
    </r>
    <r>
      <rPr>
        <sz val="8"/>
        <rFont val="Arial"/>
        <family val="2"/>
      </rPr>
      <t xml:space="preserve"> by BJ/KJ &amp; </t>
    </r>
    <r>
      <rPr>
        <b/>
        <sz val="8"/>
        <rFont val="Arial"/>
        <family val="2"/>
      </rPr>
      <t>Rs.5.81 per unit</t>
    </r>
    <r>
      <rPr>
        <sz val="8"/>
        <rFont val="Arial"/>
        <family val="2"/>
      </rPr>
      <t xml:space="preserve"> from IP set Consumers.</t>
    </r>
  </si>
  <si>
    <t xml:space="preserve"> Page  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</si>
</sst>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entury Gothic"/>
      <family val="2"/>
    </font>
    <font>
      <b/>
      <sz val="7"/>
      <name val="Arial"/>
      <family val="2"/>
    </font>
    <font>
      <sz val="12"/>
      <name val="Arial"/>
      <family val="2"/>
    </font>
    <font>
      <b/>
      <sz val="11"/>
      <name val="Century Gothic"/>
      <family val="2"/>
    </font>
    <font>
      <b/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8"/>
      <name val="Century Gothic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Century Gothic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93">
    <xf numFmtId="0" fontId="0" fillId="0" borderId="0" xfId="0"/>
    <xf numFmtId="0" fontId="3" fillId="0" borderId="1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vertical="justify"/>
    </xf>
    <xf numFmtId="0" fontId="3" fillId="0" borderId="4" xfId="0" applyFont="1" applyBorder="1" applyAlignment="1">
      <alignment vertical="justify"/>
    </xf>
    <xf numFmtId="0" fontId="3" fillId="0" borderId="5" xfId="0" applyFont="1" applyBorder="1" applyAlignment="1">
      <alignment vertical="justify"/>
    </xf>
    <xf numFmtId="0" fontId="3" fillId="0" borderId="2" xfId="0" applyFont="1" applyBorder="1" applyAlignment="1">
      <alignment vertical="justify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0" borderId="6" xfId="0" applyFont="1" applyBorder="1" applyAlignment="1">
      <alignment vertical="justify"/>
    </xf>
    <xf numFmtId="0" fontId="3" fillId="0" borderId="7" xfId="0" applyFont="1" applyBorder="1" applyAlignment="1">
      <alignment vertical="justify"/>
    </xf>
    <xf numFmtId="0" fontId="3" fillId="0" borderId="4" xfId="0" applyFont="1" applyBorder="1" applyAlignment="1">
      <alignment horizontal="left" vertical="top" wrapText="1"/>
    </xf>
    <xf numFmtId="2" fontId="3" fillId="0" borderId="0" xfId="0" applyNumberFormat="1" applyFont="1"/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2" fillId="3" borderId="10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/>
    <xf numFmtId="0" fontId="4" fillId="0" borderId="0" xfId="0" applyFont="1" applyBorder="1" applyAlignment="1">
      <alignment vertical="justify"/>
    </xf>
    <xf numFmtId="0" fontId="4" fillId="0" borderId="0" xfId="0" applyFont="1" applyBorder="1"/>
    <xf numFmtId="0" fontId="4" fillId="0" borderId="15" xfId="0" applyFont="1" applyBorder="1"/>
    <xf numFmtId="2" fontId="3" fillId="0" borderId="16" xfId="0" applyNumberFormat="1" applyFont="1" applyBorder="1"/>
    <xf numFmtId="2" fontId="3" fillId="3" borderId="17" xfId="0" applyNumberFormat="1" applyFont="1" applyFill="1" applyBorder="1" applyAlignment="1">
      <alignment horizontal="right"/>
    </xf>
    <xf numFmtId="2" fontId="2" fillId="3" borderId="17" xfId="0" applyNumberFormat="1" applyFont="1" applyFill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2" fontId="3" fillId="0" borderId="4" xfId="0" applyNumberFormat="1" applyFont="1" applyBorder="1"/>
    <xf numFmtId="2" fontId="3" fillId="0" borderId="2" xfId="0" applyNumberFormat="1" applyFont="1" applyBorder="1"/>
    <xf numFmtId="2" fontId="3" fillId="2" borderId="4" xfId="0" applyNumberFormat="1" applyFont="1" applyFill="1" applyBorder="1"/>
    <xf numFmtId="2" fontId="3" fillId="0" borderId="20" xfId="0" applyNumberFormat="1" applyFont="1" applyBorder="1"/>
    <xf numFmtId="2" fontId="3" fillId="3" borderId="21" xfId="0" applyNumberFormat="1" applyFont="1" applyFill="1" applyBorder="1"/>
    <xf numFmtId="2" fontId="2" fillId="3" borderId="10" xfId="0" applyNumberFormat="1" applyFont="1" applyFill="1" applyBorder="1"/>
    <xf numFmtId="2" fontId="2" fillId="3" borderId="21" xfId="0" applyNumberFormat="1" applyFont="1" applyFill="1" applyBorder="1"/>
    <xf numFmtId="2" fontId="3" fillId="3" borderId="10" xfId="0" applyNumberFormat="1" applyFont="1" applyFill="1" applyBorder="1"/>
    <xf numFmtId="2" fontId="3" fillId="3" borderId="17" xfId="0" applyNumberFormat="1" applyFont="1" applyFill="1" applyBorder="1"/>
    <xf numFmtId="2" fontId="3" fillId="3" borderId="22" xfId="0" applyNumberFormat="1" applyFont="1" applyFill="1" applyBorder="1"/>
    <xf numFmtId="0" fontId="3" fillId="0" borderId="0" xfId="0" applyFont="1" applyBorder="1" applyAlignment="1">
      <alignment vertical="justify"/>
    </xf>
    <xf numFmtId="2" fontId="3" fillId="0" borderId="22" xfId="0" applyNumberFormat="1" applyFont="1" applyBorder="1"/>
    <xf numFmtId="0" fontId="18" fillId="2" borderId="0" xfId="0" applyFont="1" applyFill="1"/>
    <xf numFmtId="2" fontId="3" fillId="0" borderId="5" xfId="0" applyNumberFormat="1" applyFont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2" fontId="3" fillId="0" borderId="5" xfId="0" applyNumberFormat="1" applyFont="1" applyBorder="1"/>
    <xf numFmtId="2" fontId="2" fillId="3" borderId="23" xfId="0" applyNumberFormat="1" applyFont="1" applyFill="1" applyBorder="1"/>
    <xf numFmtId="0" fontId="0" fillId="0" borderId="0" xfId="0" applyAlignment="1">
      <alignment vertical="justify"/>
    </xf>
    <xf numFmtId="0" fontId="3" fillId="0" borderId="12" xfId="0" applyFont="1" applyBorder="1"/>
    <xf numFmtId="0" fontId="3" fillId="0" borderId="24" xfId="0" applyFont="1" applyBorder="1" applyAlignment="1">
      <alignment vertical="justify"/>
    </xf>
    <xf numFmtId="0" fontId="3" fillId="0" borderId="24" xfId="0" applyFont="1" applyBorder="1"/>
    <xf numFmtId="0" fontId="6" fillId="3" borderId="25" xfId="0" applyFont="1" applyFill="1" applyBorder="1"/>
    <xf numFmtId="0" fontId="6" fillId="3" borderId="26" xfId="0" applyFont="1" applyFill="1" applyBorder="1"/>
    <xf numFmtId="0" fontId="6" fillId="3" borderId="27" xfId="0" applyFont="1" applyFill="1" applyBorder="1" applyAlignment="1">
      <alignment vertical="justify"/>
    </xf>
    <xf numFmtId="0" fontId="6" fillId="3" borderId="28" xfId="0" applyFont="1" applyFill="1" applyBorder="1" applyAlignment="1">
      <alignment vertical="justify"/>
    </xf>
    <xf numFmtId="0" fontId="6" fillId="3" borderId="11" xfId="0" applyFont="1" applyFill="1" applyBorder="1" applyAlignment="1">
      <alignment vertical="justify"/>
    </xf>
    <xf numFmtId="0" fontId="6" fillId="3" borderId="19" xfId="0" applyFont="1" applyFill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0" fontId="12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2" fontId="3" fillId="2" borderId="16" xfId="0" applyNumberFormat="1" applyFont="1" applyFill="1" applyBorder="1"/>
    <xf numFmtId="0" fontId="3" fillId="0" borderId="9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2" fillId="0" borderId="3" xfId="0" applyFont="1" applyBorder="1"/>
    <xf numFmtId="2" fontId="3" fillId="2" borderId="14" xfId="0" applyNumberFormat="1" applyFont="1" applyFill="1" applyBorder="1"/>
    <xf numFmtId="0" fontId="3" fillId="0" borderId="8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12" fillId="0" borderId="1" xfId="0" applyFont="1" applyBorder="1"/>
    <xf numFmtId="0" fontId="3" fillId="0" borderId="0" xfId="0" applyFont="1" applyBorder="1"/>
    <xf numFmtId="2" fontId="3" fillId="0" borderId="17" xfId="0" applyNumberFormat="1" applyFont="1" applyFill="1" applyBorder="1"/>
    <xf numFmtId="0" fontId="3" fillId="0" borderId="4" xfId="0" applyFont="1" applyBorder="1" applyAlignment="1">
      <alignment horizontal="right"/>
    </xf>
    <xf numFmtId="0" fontId="0" fillId="0" borderId="0" xfId="0" applyBorder="1"/>
    <xf numFmtId="0" fontId="13" fillId="3" borderId="31" xfId="0" applyFont="1" applyFill="1" applyBorder="1"/>
    <xf numFmtId="2" fontId="2" fillId="3" borderId="28" xfId="0" applyNumberFormat="1" applyFont="1" applyFill="1" applyBorder="1"/>
    <xf numFmtId="2" fontId="2" fillId="3" borderId="32" xfId="0" applyNumberFormat="1" applyFont="1" applyFill="1" applyBorder="1"/>
    <xf numFmtId="2" fontId="3" fillId="2" borderId="2" xfId="0" applyNumberFormat="1" applyFont="1" applyFill="1" applyBorder="1"/>
    <xf numFmtId="0" fontId="3" fillId="0" borderId="4" xfId="0" applyFont="1" applyFill="1" applyBorder="1" applyAlignment="1"/>
    <xf numFmtId="2" fontId="3" fillId="2" borderId="33" xfId="0" applyNumberFormat="1" applyFont="1" applyFill="1" applyBorder="1"/>
    <xf numFmtId="0" fontId="3" fillId="0" borderId="5" xfId="0" applyFont="1" applyBorder="1" applyAlignment="1">
      <alignment horizontal="left" vertical="top" wrapText="1"/>
    </xf>
    <xf numFmtId="2" fontId="3" fillId="2" borderId="20" xfId="0" applyNumberFormat="1" applyFont="1" applyFill="1" applyBorder="1"/>
    <xf numFmtId="2" fontId="3" fillId="0" borderId="34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2" fillId="0" borderId="12" xfId="0" applyFont="1" applyBorder="1"/>
    <xf numFmtId="0" fontId="2" fillId="3" borderId="11" xfId="0" applyFont="1" applyFill="1" applyBorder="1" applyAlignment="1">
      <alignment horizontal="right"/>
    </xf>
    <xf numFmtId="2" fontId="2" fillId="3" borderId="21" xfId="0" applyNumberFormat="1" applyFont="1" applyFill="1" applyBorder="1" applyAlignment="1">
      <alignment horizontal="right"/>
    </xf>
    <xf numFmtId="2" fontId="2" fillId="3" borderId="11" xfId="0" applyNumberFormat="1" applyFont="1" applyFill="1" applyBorder="1"/>
    <xf numFmtId="0" fontId="3" fillId="0" borderId="35" xfId="0" applyFont="1" applyBorder="1"/>
    <xf numFmtId="2" fontId="2" fillId="0" borderId="2" xfId="0" applyNumberFormat="1" applyFont="1" applyBorder="1"/>
    <xf numFmtId="2" fontId="2" fillId="2" borderId="2" xfId="0" applyNumberFormat="1" applyFont="1" applyFill="1" applyBorder="1"/>
    <xf numFmtId="2" fontId="2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/>
    <xf numFmtId="2" fontId="0" fillId="0" borderId="16" xfId="0" applyNumberFormat="1" applyBorder="1"/>
    <xf numFmtId="2" fontId="2" fillId="0" borderId="4" xfId="0" applyNumberFormat="1" applyFont="1" applyBorder="1"/>
    <xf numFmtId="2" fontId="2" fillId="2" borderId="4" xfId="0" applyNumberFormat="1" applyFont="1" applyFill="1" applyBorder="1"/>
    <xf numFmtId="2" fontId="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2" fontId="0" fillId="0" borderId="14" xfId="0" applyNumberFormat="1" applyBorder="1"/>
    <xf numFmtId="2" fontId="2" fillId="0" borderId="5" xfId="0" applyNumberFormat="1" applyFont="1" applyBorder="1"/>
    <xf numFmtId="2" fontId="2" fillId="2" borderId="5" xfId="0" applyNumberFormat="1" applyFont="1" applyFill="1" applyBorder="1"/>
    <xf numFmtId="2" fontId="2" fillId="0" borderId="5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4" xfId="0" applyBorder="1"/>
    <xf numFmtId="2" fontId="0" fillId="0" borderId="20" xfId="0" applyNumberFormat="1" applyBorder="1"/>
    <xf numFmtId="0" fontId="3" fillId="0" borderId="0" xfId="0" applyFont="1" applyAlignment="1">
      <alignment vertical="justify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justify"/>
    </xf>
    <xf numFmtId="0" fontId="3" fillId="2" borderId="0" xfId="0" applyFont="1" applyFill="1" applyBorder="1"/>
    <xf numFmtId="0" fontId="5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vertical="justify"/>
    </xf>
    <xf numFmtId="0" fontId="3" fillId="0" borderId="15" xfId="0" applyFont="1" applyBorder="1"/>
    <xf numFmtId="0" fontId="0" fillId="0" borderId="36" xfId="0" applyBorder="1"/>
    <xf numFmtId="0" fontId="6" fillId="3" borderId="37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2" xfId="0" applyFont="1" applyBorder="1" applyAlignment="1">
      <alignment horizontal="right"/>
    </xf>
    <xf numFmtId="43" fontId="3" fillId="2" borderId="2" xfId="0" applyNumberFormat="1" applyFont="1" applyFill="1" applyBorder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vertical="justify"/>
    </xf>
    <xf numFmtId="43" fontId="3" fillId="0" borderId="4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0" borderId="34" xfId="0" applyFont="1" applyBorder="1" applyAlignment="1">
      <alignment vertical="justify"/>
    </xf>
    <xf numFmtId="0" fontId="12" fillId="0" borderId="4" xfId="0" applyFont="1" applyBorder="1"/>
    <xf numFmtId="39" fontId="3" fillId="0" borderId="4" xfId="0" applyNumberFormat="1" applyFont="1" applyBorder="1" applyAlignment="1">
      <alignment horizontal="right"/>
    </xf>
    <xf numFmtId="2" fontId="2" fillId="3" borderId="28" xfId="0" applyNumberFormat="1" applyFont="1" applyFill="1" applyBorder="1" applyAlignment="1">
      <alignment horizontal="right"/>
    </xf>
    <xf numFmtId="2" fontId="3" fillId="3" borderId="38" xfId="0" applyNumberFormat="1" applyFont="1" applyFill="1" applyBorder="1"/>
    <xf numFmtId="43" fontId="3" fillId="0" borderId="2" xfId="0" applyNumberFormat="1" applyFont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12" fillId="0" borderId="39" xfId="0" applyFont="1" applyBorder="1"/>
    <xf numFmtId="0" fontId="3" fillId="3" borderId="23" xfId="0" applyFont="1" applyFill="1" applyBorder="1"/>
    <xf numFmtId="0" fontId="2" fillId="3" borderId="10" xfId="0" applyFont="1" applyFill="1" applyBorder="1"/>
    <xf numFmtId="0" fontId="2" fillId="3" borderId="21" xfId="0" applyFont="1" applyFill="1" applyBorder="1"/>
    <xf numFmtId="2" fontId="3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0" borderId="22" xfId="0" applyFont="1" applyBorder="1"/>
    <xf numFmtId="0" fontId="19" fillId="2" borderId="0" xfId="0" applyFont="1" applyFill="1"/>
    <xf numFmtId="0" fontId="14" fillId="2" borderId="0" xfId="0" applyFont="1" applyFill="1"/>
    <xf numFmtId="0" fontId="0" fillId="2" borderId="0" xfId="0" applyFill="1"/>
    <xf numFmtId="0" fontId="5" fillId="0" borderId="0" xfId="0" applyFont="1" applyAlignment="1">
      <alignment vertical="justify"/>
    </xf>
    <xf numFmtId="0" fontId="3" fillId="0" borderId="40" xfId="0" applyFont="1" applyBorder="1"/>
    <xf numFmtId="0" fontId="3" fillId="0" borderId="41" xfId="0" applyFont="1" applyBorder="1" applyAlignment="1">
      <alignment vertical="justify"/>
    </xf>
    <xf numFmtId="0" fontId="3" fillId="0" borderId="41" xfId="0" applyFont="1" applyBorder="1"/>
    <xf numFmtId="0" fontId="6" fillId="3" borderId="12" xfId="0" applyFont="1" applyFill="1" applyBorder="1"/>
    <xf numFmtId="0" fontId="15" fillId="3" borderId="19" xfId="0" applyFont="1" applyFill="1" applyBorder="1"/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2" fontId="3" fillId="0" borderId="2" xfId="0" applyNumberFormat="1" applyFont="1" applyBorder="1" applyAlignment="1"/>
    <xf numFmtId="2" fontId="3" fillId="0" borderId="9" xfId="0" applyNumberFormat="1" applyFont="1" applyBorder="1" applyAlignment="1"/>
    <xf numFmtId="2" fontId="3" fillId="2" borderId="16" xfId="0" applyNumberFormat="1" applyFont="1" applyFill="1" applyBorder="1" applyAlignment="1"/>
    <xf numFmtId="2" fontId="3" fillId="0" borderId="9" xfId="0" applyNumberFormat="1" applyFont="1" applyBorder="1"/>
    <xf numFmtId="2" fontId="3" fillId="0" borderId="4" xfId="0" applyNumberFormat="1" applyFont="1" applyBorder="1" applyAlignment="1"/>
    <xf numFmtId="2" fontId="3" fillId="2" borderId="4" xfId="0" applyNumberFormat="1" applyFont="1" applyFill="1" applyBorder="1" applyAlignment="1"/>
    <xf numFmtId="0" fontId="12" fillId="0" borderId="3" xfId="0" applyFont="1" applyBorder="1" applyAlignment="1">
      <alignment vertical="top"/>
    </xf>
    <xf numFmtId="2" fontId="3" fillId="2" borderId="42" xfId="0" applyNumberFormat="1" applyFont="1" applyFill="1" applyBorder="1" applyAlignment="1"/>
    <xf numFmtId="2" fontId="3" fillId="0" borderId="8" xfId="0" applyNumberFormat="1" applyFont="1" applyBorder="1" applyAlignment="1"/>
    <xf numFmtId="2" fontId="3" fillId="0" borderId="8" xfId="0" applyNumberFormat="1" applyFont="1" applyBorder="1"/>
    <xf numFmtId="2" fontId="3" fillId="2" borderId="8" xfId="0" applyNumberFormat="1" applyFont="1" applyFill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0" fontId="12" fillId="0" borderId="8" xfId="0" applyFont="1" applyBorder="1" applyAlignment="1"/>
    <xf numFmtId="0" fontId="12" fillId="0" borderId="43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5" xfId="0" applyFont="1" applyFill="1" applyBorder="1" applyAlignment="1">
      <alignment vertical="top"/>
    </xf>
    <xf numFmtId="2" fontId="2" fillId="3" borderId="28" xfId="0" applyNumberFormat="1" applyFont="1" applyFill="1" applyBorder="1" applyAlignment="1"/>
    <xf numFmtId="0" fontId="2" fillId="3" borderId="28" xfId="0" applyFont="1" applyFill="1" applyBorder="1" applyAlignment="1"/>
    <xf numFmtId="2" fontId="3" fillId="2" borderId="9" xfId="0" applyNumberFormat="1" applyFont="1" applyFill="1" applyBorder="1" applyAlignment="1"/>
    <xf numFmtId="0" fontId="3" fillId="0" borderId="9" xfId="0" applyFont="1" applyBorder="1" applyAlignment="1"/>
    <xf numFmtId="0" fontId="3" fillId="0" borderId="44" xfId="0" applyFont="1" applyBorder="1" applyAlignment="1">
      <alignment horizontal="left" vertical="top" wrapText="1"/>
    </xf>
    <xf numFmtId="2" fontId="3" fillId="0" borderId="5" xfId="0" applyNumberFormat="1" applyFont="1" applyBorder="1" applyAlignment="1"/>
    <xf numFmtId="2" fontId="3" fillId="2" borderId="34" xfId="0" applyNumberFormat="1" applyFont="1" applyFill="1" applyBorder="1" applyAlignment="1"/>
    <xf numFmtId="0" fontId="3" fillId="0" borderId="34" xfId="0" applyFont="1" applyBorder="1" applyAlignment="1"/>
    <xf numFmtId="2" fontId="3" fillId="0" borderId="34" xfId="0" applyNumberFormat="1" applyFont="1" applyBorder="1"/>
    <xf numFmtId="0" fontId="3" fillId="0" borderId="45" xfId="0" applyFont="1" applyBorder="1"/>
    <xf numFmtId="2" fontId="2" fillId="3" borderId="10" xfId="0" applyNumberFormat="1" applyFont="1" applyFill="1" applyBorder="1" applyAlignment="1"/>
    <xf numFmtId="0" fontId="2" fillId="3" borderId="10" xfId="0" applyFont="1" applyFill="1" applyBorder="1" applyAlignment="1"/>
    <xf numFmtId="0" fontId="3" fillId="0" borderId="44" xfId="0" applyFont="1" applyBorder="1"/>
    <xf numFmtId="2" fontId="2" fillId="3" borderId="46" xfId="0" applyNumberFormat="1" applyFont="1" applyFill="1" applyBorder="1" applyAlignment="1"/>
    <xf numFmtId="2" fontId="2" fillId="3" borderId="11" xfId="0" applyNumberFormat="1" applyFont="1" applyFill="1" applyBorder="1" applyAlignment="1"/>
    <xf numFmtId="0" fontId="2" fillId="3" borderId="12" xfId="0" applyFont="1" applyFill="1" applyBorder="1" applyAlignment="1"/>
    <xf numFmtId="0" fontId="0" fillId="3" borderId="11" xfId="0" applyFill="1" applyBorder="1"/>
    <xf numFmtId="0" fontId="0" fillId="3" borderId="21" xfId="0" applyFill="1" applyBorder="1"/>
    <xf numFmtId="0" fontId="3" fillId="0" borderId="6" xfId="0" applyFont="1" applyBorder="1"/>
    <xf numFmtId="2" fontId="3" fillId="2" borderId="2" xfId="0" applyNumberFormat="1" applyFont="1" applyFill="1" applyBorder="1" applyAlignment="1"/>
    <xf numFmtId="2" fontId="2" fillId="0" borderId="2" xfId="0" applyNumberFormat="1" applyFont="1" applyBorder="1" applyAlignment="1"/>
    <xf numFmtId="0" fontId="2" fillId="0" borderId="9" xfId="0" applyFont="1" applyBorder="1" applyAlignment="1"/>
    <xf numFmtId="0" fontId="0" fillId="0" borderId="16" xfId="0" applyBorder="1"/>
    <xf numFmtId="0" fontId="3" fillId="0" borderId="47" xfId="0" applyFont="1" applyBorder="1"/>
    <xf numFmtId="2" fontId="3" fillId="2" borderId="5" xfId="0" applyNumberFormat="1" applyFont="1" applyFill="1" applyBorder="1" applyAlignment="1"/>
    <xf numFmtId="2" fontId="2" fillId="0" borderId="5" xfId="0" applyNumberFormat="1" applyFont="1" applyBorder="1" applyAlignment="1"/>
    <xf numFmtId="0" fontId="2" fillId="0" borderId="34" xfId="0" applyFont="1" applyBorder="1" applyAlignment="1"/>
    <xf numFmtId="0" fontId="0" fillId="0" borderId="20" xfId="0" applyBorder="1"/>
    <xf numFmtId="0" fontId="3" fillId="0" borderId="7" xfId="0" applyFont="1" applyBorder="1"/>
    <xf numFmtId="2" fontId="2" fillId="3" borderId="10" xfId="0" applyNumberFormat="1" applyFont="1" applyFill="1" applyBorder="1" applyAlignment="1">
      <alignment wrapText="1"/>
    </xf>
    <xf numFmtId="2" fontId="2" fillId="3" borderId="21" xfId="0" applyNumberFormat="1" applyFont="1" applyFill="1" applyBorder="1" applyAlignment="1"/>
    <xf numFmtId="2" fontId="2" fillId="0" borderId="0" xfId="0" applyNumberFormat="1" applyFont="1" applyBorder="1" applyAlignment="1"/>
    <xf numFmtId="0" fontId="13" fillId="2" borderId="0" xfId="0" applyFont="1" applyFill="1"/>
    <xf numFmtId="0" fontId="0" fillId="2" borderId="0" xfId="0" applyFill="1" applyAlignment="1">
      <alignment vertical="justify"/>
    </xf>
    <xf numFmtId="0" fontId="0" fillId="0" borderId="0" xfId="0" applyBorder="1" applyAlignment="1">
      <alignment vertical="justify"/>
    </xf>
    <xf numFmtId="0" fontId="2" fillId="0" borderId="48" xfId="0" applyFont="1" applyBorder="1" applyAlignment="1">
      <alignment horizontal="center" wrapText="1"/>
    </xf>
    <xf numFmtId="0" fontId="17" fillId="3" borderId="37" xfId="0" applyFont="1" applyFill="1" applyBorder="1" applyAlignment="1">
      <alignment vertical="justify"/>
    </xf>
    <xf numFmtId="0" fontId="17" fillId="3" borderId="3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 wrapText="1"/>
    </xf>
    <xf numFmtId="2" fontId="12" fillId="0" borderId="2" xfId="0" applyNumberFormat="1" applyFont="1" applyBorder="1"/>
    <xf numFmtId="4" fontId="12" fillId="2" borderId="2" xfId="0" applyNumberFormat="1" applyFont="1" applyFill="1" applyBorder="1"/>
    <xf numFmtId="2" fontId="12" fillId="0" borderId="4" xfId="0" applyNumberFormat="1" applyFont="1" applyBorder="1"/>
    <xf numFmtId="4" fontId="12" fillId="2" borderId="4" xfId="0" applyNumberFormat="1" applyFont="1" applyFill="1" applyBorder="1"/>
    <xf numFmtId="0" fontId="3" fillId="0" borderId="4" xfId="0" applyFont="1" applyBorder="1"/>
    <xf numFmtId="2" fontId="12" fillId="0" borderId="4" xfId="0" applyNumberFormat="1" applyFont="1" applyFill="1" applyBorder="1"/>
    <xf numFmtId="0" fontId="13" fillId="0" borderId="49" xfId="0" applyFont="1" applyBorder="1"/>
    <xf numFmtId="2" fontId="13" fillId="3" borderId="28" xfId="0" applyNumberFormat="1" applyFont="1" applyFill="1" applyBorder="1"/>
    <xf numFmtId="2" fontId="2" fillId="3" borderId="38" xfId="0" applyNumberFormat="1" applyFont="1" applyFill="1" applyBorder="1"/>
    <xf numFmtId="0" fontId="3" fillId="0" borderId="2" xfId="0" applyFont="1" applyBorder="1"/>
    <xf numFmtId="2" fontId="12" fillId="2" borderId="4" xfId="0" applyNumberFormat="1" applyFont="1" applyFill="1" applyBorder="1"/>
    <xf numFmtId="2" fontId="12" fillId="0" borderId="5" xfId="0" applyNumberFormat="1" applyFont="1" applyBorder="1"/>
    <xf numFmtId="4" fontId="12" fillId="2" borderId="5" xfId="0" applyNumberFormat="1" applyFont="1" applyFill="1" applyBorder="1"/>
    <xf numFmtId="0" fontId="3" fillId="0" borderId="5" xfId="0" applyFont="1" applyBorder="1"/>
    <xf numFmtId="0" fontId="12" fillId="0" borderId="6" xfId="0" applyFont="1" applyBorder="1"/>
    <xf numFmtId="2" fontId="13" fillId="3" borderId="10" xfId="0" applyNumberFormat="1" applyFont="1" applyFill="1" applyBorder="1"/>
    <xf numFmtId="0" fontId="2" fillId="3" borderId="28" xfId="0" applyFont="1" applyFill="1" applyBorder="1"/>
    <xf numFmtId="0" fontId="1" fillId="3" borderId="28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2" fontId="12" fillId="0" borderId="17" xfId="0" applyNumberFormat="1" applyFont="1" applyBorder="1"/>
    <xf numFmtId="2" fontId="13" fillId="0" borderId="17" xfId="0" applyNumberFormat="1" applyFont="1" applyBorder="1"/>
    <xf numFmtId="4" fontId="13" fillId="2" borderId="17" xfId="0" applyNumberFormat="1" applyFont="1" applyFill="1" applyBorder="1"/>
    <xf numFmtId="2" fontId="2" fillId="0" borderId="17" xfId="0" applyNumberFormat="1" applyFont="1" applyBorder="1" applyAlignment="1"/>
    <xf numFmtId="2" fontId="0" fillId="0" borderId="17" xfId="0" applyNumberFormat="1" applyBorder="1"/>
    <xf numFmtId="0" fontId="0" fillId="0" borderId="22" xfId="0" applyBorder="1"/>
    <xf numFmtId="0" fontId="12" fillId="0" borderId="7" xfId="0" applyFont="1" applyBorder="1"/>
    <xf numFmtId="4" fontId="13" fillId="3" borderId="10" xfId="0" applyNumberFormat="1" applyFont="1" applyFill="1" applyBorder="1"/>
    <xf numFmtId="0" fontId="2" fillId="3" borderId="23" xfId="0" applyFont="1" applyFill="1" applyBorder="1"/>
    <xf numFmtId="0" fontId="1" fillId="3" borderId="1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vertical="justify"/>
    </xf>
    <xf numFmtId="0" fontId="19" fillId="0" borderId="0" xfId="0" applyFont="1"/>
    <xf numFmtId="0" fontId="20" fillId="2" borderId="0" xfId="0" applyFont="1" applyFill="1"/>
    <xf numFmtId="2" fontId="21" fillId="3" borderId="28" xfId="0" applyNumberFormat="1" applyFont="1" applyFill="1" applyBorder="1" applyAlignment="1"/>
    <xf numFmtId="0" fontId="6" fillId="3" borderId="37" xfId="0" applyFont="1" applyFill="1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horizontal="right"/>
    </xf>
    <xf numFmtId="0" fontId="0" fillId="0" borderId="2" xfId="0" applyBorder="1"/>
    <xf numFmtId="0" fontId="13" fillId="3" borderId="23" xfId="0" applyFont="1" applyFill="1" applyBorder="1"/>
    <xf numFmtId="2" fontId="2" fillId="3" borderId="12" xfId="0" applyNumberFormat="1" applyFont="1" applyFill="1" applyBorder="1"/>
    <xf numFmtId="2" fontId="0" fillId="0" borderId="4" xfId="0" applyNumberFormat="1" applyBorder="1"/>
    <xf numFmtId="2" fontId="0" fillId="0" borderId="5" xfId="0" applyNumberFormat="1" applyBorder="1"/>
    <xf numFmtId="2" fontId="1" fillId="3" borderId="24" xfId="0" applyNumberFormat="1" applyFont="1" applyFill="1" applyBorder="1"/>
    <xf numFmtId="0" fontId="11" fillId="0" borderId="24" xfId="0" applyFont="1" applyBorder="1" applyAlignment="1"/>
    <xf numFmtId="0" fontId="11" fillId="0" borderId="50" xfId="0" applyFont="1" applyBorder="1" applyAlignment="1"/>
    <xf numFmtId="2" fontId="12" fillId="0" borderId="8" xfId="0" applyNumberFormat="1" applyFont="1" applyBorder="1" applyAlignment="1"/>
    <xf numFmtId="2" fontId="2" fillId="0" borderId="1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0" xfId="0" applyNumberFormat="1" applyFont="1" applyFill="1" applyBorder="1"/>
    <xf numFmtId="2" fontId="2" fillId="0" borderId="21" xfId="0" applyNumberFormat="1" applyFont="1" applyFill="1" applyBorder="1"/>
    <xf numFmtId="2" fontId="2" fillId="0" borderId="23" xfId="0" applyNumberFormat="1" applyFont="1" applyFill="1" applyBorder="1"/>
    <xf numFmtId="0" fontId="2" fillId="3" borderId="19" xfId="0" applyFont="1" applyFill="1" applyBorder="1" applyAlignment="1">
      <alignment horizontal="center" wrapText="1"/>
    </xf>
    <xf numFmtId="0" fontId="3" fillId="3" borderId="12" xfId="0" applyFont="1" applyFill="1" applyBorder="1"/>
    <xf numFmtId="0" fontId="3" fillId="3" borderId="24" xfId="0" applyFont="1" applyFill="1" applyBorder="1" applyAlignment="1">
      <alignment vertical="justify"/>
    </xf>
    <xf numFmtId="0" fontId="3" fillId="3" borderId="24" xfId="0" applyFont="1" applyFill="1" applyBorder="1"/>
    <xf numFmtId="0" fontId="13" fillId="0" borderId="31" xfId="0" applyFont="1" applyFill="1" applyBorder="1"/>
    <xf numFmtId="2" fontId="2" fillId="0" borderId="28" xfId="0" applyNumberFormat="1" applyFont="1" applyFill="1" applyBorder="1"/>
    <xf numFmtId="2" fontId="2" fillId="0" borderId="32" xfId="0" applyNumberFormat="1" applyFont="1" applyFill="1" applyBorder="1"/>
    <xf numFmtId="2" fontId="2" fillId="0" borderId="51" xfId="0" applyNumberFormat="1" applyFont="1" applyFill="1" applyBorder="1"/>
    <xf numFmtId="2" fontId="2" fillId="0" borderId="40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2" fontId="2" fillId="0" borderId="38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0" borderId="11" xfId="0" applyNumberFormat="1" applyFont="1" applyFill="1" applyBorder="1"/>
    <xf numFmtId="2" fontId="3" fillId="0" borderId="2" xfId="0" applyNumberFormat="1" applyFont="1" applyFill="1" applyBorder="1"/>
    <xf numFmtId="2" fontId="2" fillId="0" borderId="2" xfId="0" applyNumberFormat="1" applyFont="1" applyFill="1" applyBorder="1"/>
    <xf numFmtId="2" fontId="3" fillId="0" borderId="4" xfId="0" applyNumberFormat="1" applyFont="1" applyFill="1" applyBorder="1"/>
    <xf numFmtId="2" fontId="2" fillId="0" borderId="4" xfId="0" applyNumberFormat="1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2" fontId="2" fillId="0" borderId="19" xfId="0" applyNumberFormat="1" applyFont="1" applyFill="1" applyBorder="1"/>
    <xf numFmtId="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0" fontId="0" fillId="0" borderId="4" xfId="0" applyFill="1" applyBorder="1"/>
    <xf numFmtId="2" fontId="0" fillId="0" borderId="4" xfId="0" applyNumberFormat="1" applyFill="1" applyBorder="1"/>
    <xf numFmtId="2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/>
    <xf numFmtId="2" fontId="0" fillId="0" borderId="2" xfId="0" applyNumberFormat="1" applyFill="1" applyBorder="1"/>
    <xf numFmtId="2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2" fontId="0" fillId="0" borderId="5" xfId="0" applyNumberFormat="1" applyFill="1" applyBorder="1"/>
    <xf numFmtId="0" fontId="3" fillId="0" borderId="5" xfId="0" applyFont="1" applyFill="1" applyBorder="1" applyAlignment="1">
      <alignment horizontal="center" vertical="justify"/>
    </xf>
    <xf numFmtId="0" fontId="2" fillId="0" borderId="23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3" borderId="55" xfId="1" applyNumberFormat="1" applyFont="1" applyFill="1" applyBorder="1" applyAlignment="1">
      <alignment horizontal="center" vertical="center" wrapText="1"/>
    </xf>
    <xf numFmtId="0" fontId="2" fillId="3" borderId="13" xfId="1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1" fillId="0" borderId="41" xfId="0" applyFont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2" fillId="3" borderId="53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3" borderId="10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justify"/>
    </xf>
    <xf numFmtId="0" fontId="12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6" fillId="3" borderId="3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justify"/>
    </xf>
    <xf numFmtId="0" fontId="16" fillId="3" borderId="23" xfId="0" applyFont="1" applyFill="1" applyBorder="1" applyAlignment="1">
      <alignment horizontal="center" vertical="justify"/>
    </xf>
    <xf numFmtId="0" fontId="16" fillId="3" borderId="21" xfId="0" applyFont="1" applyFill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3" fillId="0" borderId="56" xfId="0" applyFont="1" applyBorder="1" applyAlignment="1">
      <alignment horizontal="center" vertical="justify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7" fillId="3" borderId="5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 vertical="justify"/>
    </xf>
    <xf numFmtId="0" fontId="13" fillId="3" borderId="10" xfId="0" applyFont="1" applyFill="1" applyBorder="1" applyAlignment="1">
      <alignment horizontal="center" vertical="justify"/>
    </xf>
    <xf numFmtId="0" fontId="13" fillId="3" borderId="31" xfId="0" applyFont="1" applyFill="1" applyBorder="1" applyAlignment="1">
      <alignment horizontal="center" vertical="justify"/>
    </xf>
    <xf numFmtId="0" fontId="13" fillId="3" borderId="28" xfId="0" applyFont="1" applyFill="1" applyBorder="1" applyAlignment="1">
      <alignment horizontal="center" vertical="justify"/>
    </xf>
    <xf numFmtId="0" fontId="3" fillId="3" borderId="35" xfId="0" applyFont="1" applyFill="1" applyBorder="1" applyAlignment="1">
      <alignment horizontal="center" vertical="justify"/>
    </xf>
    <xf numFmtId="0" fontId="3" fillId="3" borderId="17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3" borderId="53" xfId="0" applyFont="1" applyFill="1" applyBorder="1" applyAlignment="1">
      <alignment horizontal="center" vertical="justify"/>
    </xf>
    <xf numFmtId="0" fontId="6" fillId="3" borderId="55" xfId="0" applyFont="1" applyFill="1" applyBorder="1" applyAlignment="1">
      <alignment horizontal="center" vertical="justify"/>
    </xf>
    <xf numFmtId="0" fontId="3" fillId="2" borderId="0" xfId="0" applyFont="1" applyFill="1" applyAlignment="1">
      <alignment horizontal="left"/>
    </xf>
    <xf numFmtId="0" fontId="2" fillId="3" borderId="4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" fillId="0" borderId="41" xfId="0" applyFont="1" applyBorder="1" applyAlignment="1">
      <alignment horizontal="right"/>
    </xf>
  </cellXfs>
  <cellStyles count="2">
    <cellStyle name="Normal" xfId="0" builtinId="0"/>
    <cellStyle name="Normal_D21-ARR for FY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hapter%206%20and%20Annexure-3\Annexure-3\13-MESCOM%20-%20ANNEXURE%20-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COM"/>
      <sheetName val="Sheet1"/>
    </sheetNames>
    <sheetDataSet>
      <sheetData sheetId="0">
        <row r="43">
          <cell r="E43">
            <v>4252.5</v>
          </cell>
          <cell r="F43">
            <v>0</v>
          </cell>
          <cell r="G4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N56"/>
  <sheetViews>
    <sheetView tabSelected="1" zoomScaleNormal="100" workbookViewId="0">
      <selection activeCell="N32" sqref="N32"/>
    </sheetView>
  </sheetViews>
  <sheetFormatPr defaultRowHeight="12.75" x14ac:dyDescent="0.2"/>
  <cols>
    <col min="1" max="1" width="6.5703125" customWidth="1"/>
    <col min="2" max="2" width="15.85546875" style="53" customWidth="1"/>
    <col min="3" max="3" width="24.140625" style="53" customWidth="1"/>
    <col min="5" max="5" width="10" customWidth="1"/>
    <col min="8" max="8" width="10.28515625" customWidth="1"/>
    <col min="9" max="9" width="11.28515625" customWidth="1"/>
    <col min="11" max="11" width="10.5703125" bestFit="1" customWidth="1"/>
    <col min="12" max="12" width="11" bestFit="1" customWidth="1"/>
  </cols>
  <sheetData>
    <row r="3" spans="1:13" ht="13.5" thickBot="1" x14ac:dyDescent="0.25">
      <c r="I3" s="310" t="s">
        <v>152</v>
      </c>
      <c r="J3" s="310"/>
      <c r="K3" s="310"/>
    </row>
    <row r="4" spans="1:13" ht="30.75" customHeight="1" thickBot="1" x14ac:dyDescent="0.25">
      <c r="A4" s="311" t="s">
        <v>153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3" ht="26.25" customHeight="1" thickBot="1" x14ac:dyDescent="0.25">
      <c r="A5" s="270"/>
      <c r="B5" s="271"/>
      <c r="C5" s="271"/>
      <c r="D5" s="272"/>
      <c r="E5" s="272"/>
      <c r="F5" s="272"/>
      <c r="G5" s="272"/>
      <c r="H5" s="272"/>
      <c r="I5" s="269" t="s">
        <v>73</v>
      </c>
      <c r="J5" s="314" t="s">
        <v>75</v>
      </c>
      <c r="K5" s="315"/>
    </row>
    <row r="6" spans="1:13" ht="13.5" customHeight="1" thickBot="1" x14ac:dyDescent="0.25">
      <c r="A6" s="316" t="s">
        <v>1</v>
      </c>
      <c r="B6" s="318" t="s">
        <v>2</v>
      </c>
      <c r="C6" s="318" t="s">
        <v>3</v>
      </c>
      <c r="D6" s="320" t="s">
        <v>87</v>
      </c>
      <c r="E6" s="321"/>
      <c r="F6" s="57" t="s">
        <v>0</v>
      </c>
      <c r="G6" s="58"/>
      <c r="H6" s="322" t="s">
        <v>69</v>
      </c>
      <c r="I6" s="324" t="s">
        <v>74</v>
      </c>
      <c r="J6" s="326" t="s">
        <v>71</v>
      </c>
      <c r="K6" s="305" t="s">
        <v>72</v>
      </c>
    </row>
    <row r="7" spans="1:13" ht="32.25" customHeight="1" thickBot="1" x14ac:dyDescent="0.25">
      <c r="A7" s="317"/>
      <c r="B7" s="319"/>
      <c r="C7" s="319"/>
      <c r="D7" s="59" t="s">
        <v>4</v>
      </c>
      <c r="E7" s="60" t="s">
        <v>5</v>
      </c>
      <c r="F7" s="61" t="s">
        <v>4</v>
      </c>
      <c r="G7" s="62" t="s">
        <v>5</v>
      </c>
      <c r="H7" s="323"/>
      <c r="I7" s="325"/>
      <c r="J7" s="327"/>
      <c r="K7" s="306"/>
    </row>
    <row r="8" spans="1:13" ht="25.5" customHeight="1" x14ac:dyDescent="0.2">
      <c r="A8" s="64">
        <v>1</v>
      </c>
      <c r="B8" s="65" t="s">
        <v>6</v>
      </c>
      <c r="C8" s="15" t="s">
        <v>79</v>
      </c>
      <c r="D8" s="37">
        <v>37.29</v>
      </c>
      <c r="E8" s="37">
        <v>28.34</v>
      </c>
      <c r="F8" s="37">
        <v>37.29</v>
      </c>
      <c r="G8" s="66">
        <v>28.38</v>
      </c>
      <c r="H8" s="20">
        <f>G8/F8*10</f>
        <v>7.6106194690265481</v>
      </c>
      <c r="I8" s="20">
        <v>0</v>
      </c>
      <c r="J8" s="67">
        <v>0</v>
      </c>
      <c r="K8" s="68"/>
    </row>
    <row r="9" spans="1:13" ht="25.5" customHeight="1" x14ac:dyDescent="0.2">
      <c r="A9" s="69">
        <v>2</v>
      </c>
      <c r="B9" s="70" t="s">
        <v>82</v>
      </c>
      <c r="C9" s="15" t="s">
        <v>80</v>
      </c>
      <c r="D9" s="37">
        <v>12.08</v>
      </c>
      <c r="E9" s="37">
        <v>6.76</v>
      </c>
      <c r="F9" s="37">
        <v>12.08</v>
      </c>
      <c r="G9" s="66">
        <v>5.4</v>
      </c>
      <c r="H9" s="20">
        <f>G9/F9*10</f>
        <v>4.4701986754966887</v>
      </c>
      <c r="I9" s="20">
        <v>-41.28</v>
      </c>
      <c r="J9" s="20">
        <v>-42.46</v>
      </c>
      <c r="K9" s="68"/>
    </row>
    <row r="10" spans="1:13" ht="34.15" customHeight="1" x14ac:dyDescent="0.3">
      <c r="A10" s="71">
        <v>3</v>
      </c>
      <c r="B10" s="4" t="s">
        <v>7</v>
      </c>
      <c r="C10" s="4" t="s">
        <v>88</v>
      </c>
      <c r="D10" s="36">
        <v>760.83</v>
      </c>
      <c r="E10" s="36">
        <v>580.97</v>
      </c>
      <c r="F10" s="36">
        <v>788.74</v>
      </c>
      <c r="G10" s="72">
        <v>617.13</v>
      </c>
      <c r="H10" s="19">
        <f t="shared" ref="H10:H43" si="0">G10/F10*10</f>
        <v>7.8242513375763876</v>
      </c>
      <c r="I10" s="73">
        <v>2.76</v>
      </c>
      <c r="J10" s="19">
        <v>0.7</v>
      </c>
      <c r="K10" s="74"/>
    </row>
    <row r="11" spans="1:13" ht="28.15" customHeight="1" x14ac:dyDescent="0.3">
      <c r="A11" s="75">
        <v>4</v>
      </c>
      <c r="B11" s="4" t="s">
        <v>8</v>
      </c>
      <c r="C11" s="4" t="s">
        <v>89</v>
      </c>
      <c r="D11" s="36">
        <v>674.57</v>
      </c>
      <c r="E11" s="36">
        <v>464.98</v>
      </c>
      <c r="F11" s="76">
        <v>697.77</v>
      </c>
      <c r="G11" s="72">
        <v>465.34</v>
      </c>
      <c r="H11" s="19">
        <f t="shared" si="0"/>
        <v>6.66895968585637</v>
      </c>
      <c r="I11" s="73">
        <v>-12.41</v>
      </c>
      <c r="J11" s="73">
        <v>-14.17</v>
      </c>
      <c r="K11" s="74"/>
    </row>
    <row r="12" spans="1:13" ht="38.25" customHeight="1" x14ac:dyDescent="0.3">
      <c r="A12" s="71">
        <v>5</v>
      </c>
      <c r="B12" s="4" t="s">
        <v>10</v>
      </c>
      <c r="C12" s="4" t="s">
        <v>90</v>
      </c>
      <c r="D12" s="76">
        <v>8.52</v>
      </c>
      <c r="E12" s="36">
        <v>8.34</v>
      </c>
      <c r="F12" s="36">
        <v>8.52</v>
      </c>
      <c r="G12" s="72">
        <v>7.86</v>
      </c>
      <c r="H12" s="19">
        <f t="shared" si="0"/>
        <v>9.2253521126760578</v>
      </c>
      <c r="I12" s="73">
        <v>21.23</v>
      </c>
      <c r="J12" s="73">
        <v>18.79</v>
      </c>
      <c r="K12" s="74"/>
      <c r="M12" s="8"/>
    </row>
    <row r="13" spans="1:13" ht="33.75" x14ac:dyDescent="0.3">
      <c r="A13" s="75">
        <v>6</v>
      </c>
      <c r="B13" s="4" t="s">
        <v>11</v>
      </c>
      <c r="C13" s="4" t="s">
        <v>91</v>
      </c>
      <c r="D13" s="36">
        <v>5.72</v>
      </c>
      <c r="E13" s="36">
        <v>5.4</v>
      </c>
      <c r="F13" s="36">
        <v>5.72</v>
      </c>
      <c r="G13" s="72">
        <v>4.6900000000000004</v>
      </c>
      <c r="H13" s="19">
        <v>8.19</v>
      </c>
      <c r="I13" s="19">
        <v>7.6</v>
      </c>
      <c r="J13" s="73">
        <v>5.44</v>
      </c>
      <c r="K13" s="74"/>
    </row>
    <row r="14" spans="1:13" ht="33.75" x14ac:dyDescent="0.3">
      <c r="A14" s="71">
        <v>7</v>
      </c>
      <c r="B14" s="4" t="s">
        <v>13</v>
      </c>
      <c r="C14" s="4" t="s">
        <v>92</v>
      </c>
      <c r="D14" s="36">
        <v>260.31</v>
      </c>
      <c r="E14" s="36">
        <v>274.35000000000002</v>
      </c>
      <c r="F14" s="36">
        <v>257.86</v>
      </c>
      <c r="G14" s="72">
        <v>287.56</v>
      </c>
      <c r="H14" s="19">
        <f t="shared" si="0"/>
        <v>11.15178779182502</v>
      </c>
      <c r="I14" s="73">
        <v>46.47</v>
      </c>
      <c r="J14" s="19">
        <v>43.53</v>
      </c>
      <c r="K14" s="74"/>
    </row>
    <row r="15" spans="1:13" ht="23.25" customHeight="1" x14ac:dyDescent="0.3">
      <c r="A15" s="75">
        <v>8</v>
      </c>
      <c r="B15" s="4" t="s">
        <v>14</v>
      </c>
      <c r="C15" s="4" t="s">
        <v>93</v>
      </c>
      <c r="D15" s="36">
        <v>140.21</v>
      </c>
      <c r="E15" s="36">
        <v>138.84</v>
      </c>
      <c r="F15" s="36">
        <v>150.66</v>
      </c>
      <c r="G15" s="72">
        <v>147.29</v>
      </c>
      <c r="H15" s="19">
        <f t="shared" si="0"/>
        <v>9.776317536174167</v>
      </c>
      <c r="I15" s="19">
        <v>28.4</v>
      </c>
      <c r="J15" s="73">
        <v>25.82</v>
      </c>
      <c r="K15" s="74"/>
    </row>
    <row r="16" spans="1:13" ht="14.25" x14ac:dyDescent="0.3">
      <c r="A16" s="71">
        <v>9</v>
      </c>
      <c r="B16" s="4" t="s">
        <v>94</v>
      </c>
      <c r="C16" s="4" t="s">
        <v>40</v>
      </c>
      <c r="D16" s="36">
        <v>2071.6999999999998</v>
      </c>
      <c r="E16" s="17">
        <v>1259.5899999999999</v>
      </c>
      <c r="F16" s="17">
        <v>1690.41</v>
      </c>
      <c r="G16" s="72">
        <v>982.13</v>
      </c>
      <c r="H16" s="19">
        <f t="shared" si="0"/>
        <v>5.8100105891470113</v>
      </c>
      <c r="I16" s="19">
        <v>-23.69</v>
      </c>
      <c r="J16" s="73">
        <v>-25.23</v>
      </c>
      <c r="K16" s="74"/>
    </row>
    <row r="17" spans="1:11" ht="14.25" x14ac:dyDescent="0.3">
      <c r="A17" s="75">
        <v>10</v>
      </c>
      <c r="B17" s="4" t="s">
        <v>17</v>
      </c>
      <c r="C17" s="4" t="s">
        <v>18</v>
      </c>
      <c r="D17" s="77">
        <v>0.85</v>
      </c>
      <c r="E17" s="36">
        <v>0.88</v>
      </c>
      <c r="F17" s="36">
        <v>0.87</v>
      </c>
      <c r="G17" s="72">
        <v>0.65</v>
      </c>
      <c r="H17" s="19">
        <f t="shared" si="0"/>
        <v>7.4712643678160919</v>
      </c>
      <c r="I17" s="19">
        <v>-1.87</v>
      </c>
      <c r="J17" s="19">
        <v>-3.84</v>
      </c>
      <c r="K17" s="74"/>
    </row>
    <row r="18" spans="1:11" ht="33.75" x14ac:dyDescent="0.3">
      <c r="A18" s="71">
        <v>11</v>
      </c>
      <c r="B18" s="4" t="s">
        <v>54</v>
      </c>
      <c r="C18" s="4" t="s">
        <v>95</v>
      </c>
      <c r="D18" s="36">
        <v>3.5</v>
      </c>
      <c r="E18" s="36">
        <v>3.34</v>
      </c>
      <c r="F18" s="36">
        <v>4.2699999999999996</v>
      </c>
      <c r="G18" s="72">
        <v>3.45</v>
      </c>
      <c r="H18" s="19">
        <v>8.07</v>
      </c>
      <c r="I18" s="19">
        <v>6</v>
      </c>
      <c r="J18" s="19">
        <v>3.87</v>
      </c>
      <c r="K18" s="74"/>
    </row>
    <row r="19" spans="1:11" ht="33.75" x14ac:dyDescent="0.3">
      <c r="A19" s="75">
        <v>12</v>
      </c>
      <c r="B19" s="4" t="s">
        <v>55</v>
      </c>
      <c r="C19" s="4" t="s">
        <v>96</v>
      </c>
      <c r="D19" s="36">
        <v>3.41</v>
      </c>
      <c r="E19" s="36">
        <v>3.85</v>
      </c>
      <c r="F19" s="36">
        <v>3.84</v>
      </c>
      <c r="G19" s="72">
        <v>3.46</v>
      </c>
      <c r="H19" s="19">
        <f t="shared" si="0"/>
        <v>9.0104166666666679</v>
      </c>
      <c r="I19" s="19">
        <v>18.489999999999998</v>
      </c>
      <c r="J19" s="73">
        <v>16.11</v>
      </c>
      <c r="K19" s="74"/>
    </row>
    <row r="20" spans="1:11" ht="15" customHeight="1" x14ac:dyDescent="0.3">
      <c r="A20" s="71">
        <v>13</v>
      </c>
      <c r="B20" s="4" t="s">
        <v>97</v>
      </c>
      <c r="C20" s="4" t="s">
        <v>98</v>
      </c>
      <c r="D20" s="36">
        <v>45.87</v>
      </c>
      <c r="E20" s="36">
        <v>41.43</v>
      </c>
      <c r="F20" s="36">
        <v>50.9</v>
      </c>
      <c r="G20" s="72">
        <v>46.24</v>
      </c>
      <c r="H20" s="19">
        <f t="shared" si="0"/>
        <v>9.0844793713163075</v>
      </c>
      <c r="I20" s="73">
        <v>19.309999999999999</v>
      </c>
      <c r="J20" s="73">
        <v>16.920000000000002</v>
      </c>
      <c r="K20" s="74"/>
    </row>
    <row r="21" spans="1:11" ht="15" customHeight="1" x14ac:dyDescent="0.3">
      <c r="A21" s="75">
        <v>14</v>
      </c>
      <c r="B21" s="4" t="s">
        <v>99</v>
      </c>
      <c r="C21" s="4" t="s">
        <v>98</v>
      </c>
      <c r="D21" s="36">
        <v>88.08</v>
      </c>
      <c r="E21" s="36">
        <v>91.77</v>
      </c>
      <c r="F21" s="36">
        <v>83.05</v>
      </c>
      <c r="G21" s="72">
        <v>85.56</v>
      </c>
      <c r="H21" s="19">
        <f t="shared" si="0"/>
        <v>10.302227573750752</v>
      </c>
      <c r="I21" s="73">
        <v>35.31</v>
      </c>
      <c r="J21" s="73">
        <v>32.590000000000003</v>
      </c>
      <c r="K21" s="74"/>
    </row>
    <row r="22" spans="1:11" ht="14.25" x14ac:dyDescent="0.3">
      <c r="A22" s="75">
        <v>15</v>
      </c>
      <c r="B22" s="4" t="s">
        <v>21</v>
      </c>
      <c r="C22" s="4" t="s">
        <v>22</v>
      </c>
      <c r="D22" s="36">
        <v>125.57</v>
      </c>
      <c r="E22" s="36">
        <v>76.040000000000006</v>
      </c>
      <c r="F22" s="36">
        <v>131.1</v>
      </c>
      <c r="G22" s="72">
        <v>77.77</v>
      </c>
      <c r="H22" s="19">
        <f t="shared" si="0"/>
        <v>5.9321128909229595</v>
      </c>
      <c r="I22" s="73">
        <v>-22.09</v>
      </c>
      <c r="J22" s="19">
        <v>-23.65</v>
      </c>
      <c r="K22" s="74"/>
    </row>
    <row r="23" spans="1:11" ht="14.25" x14ac:dyDescent="0.3">
      <c r="A23" s="71">
        <v>16</v>
      </c>
      <c r="B23" s="4" t="s">
        <v>21</v>
      </c>
      <c r="C23" s="4" t="s">
        <v>23</v>
      </c>
      <c r="D23" s="36">
        <v>70.260000000000005</v>
      </c>
      <c r="E23" s="36">
        <v>51.82</v>
      </c>
      <c r="F23" s="36">
        <v>72.11</v>
      </c>
      <c r="G23" s="72">
        <v>53.6</v>
      </c>
      <c r="H23" s="19">
        <f t="shared" si="0"/>
        <v>7.4330883372625154</v>
      </c>
      <c r="I23" s="73">
        <v>-2.38</v>
      </c>
      <c r="J23" s="73">
        <v>-4.34</v>
      </c>
      <c r="K23" s="74"/>
    </row>
    <row r="24" spans="1:11" ht="14.25" x14ac:dyDescent="0.3">
      <c r="A24" s="71">
        <v>17</v>
      </c>
      <c r="B24" s="4" t="s">
        <v>77</v>
      </c>
      <c r="C24" s="4" t="s">
        <v>24</v>
      </c>
      <c r="D24" s="36">
        <v>19.559999999999999</v>
      </c>
      <c r="E24" s="36">
        <v>51.82</v>
      </c>
      <c r="F24" s="36">
        <v>19.559999999999999</v>
      </c>
      <c r="G24" s="38">
        <v>21.52</v>
      </c>
      <c r="H24" s="17">
        <f t="shared" si="0"/>
        <v>11.002044989775051</v>
      </c>
      <c r="I24" s="17">
        <v>44.5</v>
      </c>
      <c r="J24" s="17">
        <v>41.6</v>
      </c>
      <c r="K24" s="74"/>
    </row>
    <row r="25" spans="1:11" ht="22.5" x14ac:dyDescent="0.3">
      <c r="A25" s="71">
        <v>18</v>
      </c>
      <c r="B25" s="4" t="s">
        <v>100</v>
      </c>
      <c r="C25" s="4" t="s">
        <v>76</v>
      </c>
      <c r="D25" s="36">
        <v>0.85</v>
      </c>
      <c r="E25" s="36">
        <v>1.1100000000000001</v>
      </c>
      <c r="F25" s="36">
        <v>0.85</v>
      </c>
      <c r="G25" s="38">
        <v>1.08</v>
      </c>
      <c r="H25" s="17">
        <f t="shared" si="0"/>
        <v>12.705882352941178</v>
      </c>
      <c r="I25" s="78">
        <v>66.88</v>
      </c>
      <c r="J25" s="78">
        <v>63.52</v>
      </c>
      <c r="K25" s="74"/>
    </row>
    <row r="26" spans="1:11" ht="14.25" thickBot="1" x14ac:dyDescent="0.3">
      <c r="A26" s="273"/>
      <c r="B26" s="307" t="s">
        <v>25</v>
      </c>
      <c r="C26" s="307"/>
      <c r="D26" s="274">
        <f>SUM(D8:D25)</f>
        <v>4329.18</v>
      </c>
      <c r="E26" s="274">
        <f>SUM(E8:E25)</f>
        <v>3089.6300000000006</v>
      </c>
      <c r="F26" s="275">
        <f>SUM(F8:F25)</f>
        <v>4015.6000000000004</v>
      </c>
      <c r="G26" s="276">
        <f>SUM(G8:G25)</f>
        <v>2839.1099999999992</v>
      </c>
      <c r="H26" s="277">
        <f>G26/F26*10</f>
        <v>7.0702012152604823</v>
      </c>
      <c r="I26" s="278">
        <v>-5.99</v>
      </c>
      <c r="J26" s="278">
        <v>-9.01</v>
      </c>
      <c r="K26" s="279"/>
    </row>
    <row r="27" spans="1:11" ht="14.25" x14ac:dyDescent="0.3">
      <c r="A27" s="75">
        <v>1</v>
      </c>
      <c r="B27" s="6" t="s">
        <v>26</v>
      </c>
      <c r="C27" s="6" t="s">
        <v>27</v>
      </c>
      <c r="D27" s="37">
        <v>110.71</v>
      </c>
      <c r="E27" s="37">
        <v>70.41</v>
      </c>
      <c r="F27" s="37">
        <v>109.04</v>
      </c>
      <c r="G27" s="83">
        <v>66.319999999999993</v>
      </c>
      <c r="H27" s="16">
        <f t="shared" si="0"/>
        <v>6.0821716801173871</v>
      </c>
      <c r="I27" s="67">
        <v>-20.12</v>
      </c>
      <c r="J27" s="20">
        <v>-15.18</v>
      </c>
      <c r="K27" s="68">
        <v>-11.6</v>
      </c>
    </row>
    <row r="28" spans="1:11" ht="14.25" x14ac:dyDescent="0.3">
      <c r="A28" s="71">
        <v>2</v>
      </c>
      <c r="B28" s="4" t="s">
        <v>101</v>
      </c>
      <c r="C28" s="4" t="s">
        <v>102</v>
      </c>
      <c r="D28" s="36">
        <v>685.91</v>
      </c>
      <c r="E28" s="36">
        <v>589.30999999999995</v>
      </c>
      <c r="F28" s="36">
        <v>685.91</v>
      </c>
      <c r="G28" s="66">
        <v>615.36</v>
      </c>
      <c r="H28" s="20">
        <f t="shared" si="0"/>
        <v>8.9714394016707733</v>
      </c>
      <c r="I28" s="67">
        <v>17.829999999999998</v>
      </c>
      <c r="J28" s="19">
        <v>25.12</v>
      </c>
      <c r="K28" s="74">
        <v>30.4</v>
      </c>
    </row>
    <row r="29" spans="1:11" ht="13.5" customHeight="1" x14ac:dyDescent="0.3">
      <c r="A29" s="71">
        <v>3</v>
      </c>
      <c r="B29" s="4" t="s">
        <v>103</v>
      </c>
      <c r="C29" s="4" t="s">
        <v>104</v>
      </c>
      <c r="D29" s="36">
        <v>215.91</v>
      </c>
      <c r="E29" s="36">
        <v>227.26</v>
      </c>
      <c r="F29" s="36">
        <v>220.55</v>
      </c>
      <c r="G29" s="72">
        <v>229.15</v>
      </c>
      <c r="H29" s="19">
        <f t="shared" si="0"/>
        <v>10.389934255270914</v>
      </c>
      <c r="I29" s="19">
        <v>36.46</v>
      </c>
      <c r="J29" s="19">
        <v>44.91</v>
      </c>
      <c r="K29" s="74">
        <v>51.02</v>
      </c>
    </row>
    <row r="30" spans="1:11" ht="24.6" customHeight="1" x14ac:dyDescent="0.3">
      <c r="A30" s="71">
        <v>4</v>
      </c>
      <c r="B30" s="84" t="s">
        <v>105</v>
      </c>
      <c r="C30" s="13" t="s">
        <v>67</v>
      </c>
      <c r="D30" s="36">
        <v>42.73</v>
      </c>
      <c r="E30" s="36">
        <v>36.06</v>
      </c>
      <c r="F30" s="36">
        <v>47.26</v>
      </c>
      <c r="G30" s="72">
        <v>38.14</v>
      </c>
      <c r="H30" s="19">
        <f t="shared" si="0"/>
        <v>8.0702496826068568</v>
      </c>
      <c r="I30" s="19">
        <v>6</v>
      </c>
      <c r="J30" s="19">
        <v>12.57</v>
      </c>
      <c r="K30" s="74">
        <v>17.309999999999999</v>
      </c>
    </row>
    <row r="31" spans="1:11" ht="35.25" customHeight="1" x14ac:dyDescent="0.3">
      <c r="A31" s="71">
        <v>5</v>
      </c>
      <c r="B31" s="84" t="s">
        <v>106</v>
      </c>
      <c r="C31" s="13" t="s">
        <v>68</v>
      </c>
      <c r="D31" s="36">
        <v>101.85</v>
      </c>
      <c r="E31" s="36">
        <v>95.91</v>
      </c>
      <c r="F31" s="36">
        <v>112.67</v>
      </c>
      <c r="G31" s="72">
        <v>102.41</v>
      </c>
      <c r="H31" s="19">
        <f t="shared" si="0"/>
        <v>9.0893760539628996</v>
      </c>
      <c r="I31" s="19">
        <v>19.38</v>
      </c>
      <c r="J31" s="19">
        <v>26.77</v>
      </c>
      <c r="K31" s="74">
        <v>32.11</v>
      </c>
    </row>
    <row r="32" spans="1:11" ht="34.5" customHeight="1" x14ac:dyDescent="0.3">
      <c r="A32" s="71">
        <v>6</v>
      </c>
      <c r="B32" s="4" t="s">
        <v>30</v>
      </c>
      <c r="C32" s="4" t="s">
        <v>107</v>
      </c>
      <c r="D32" s="38">
        <v>40.98</v>
      </c>
      <c r="E32" s="36">
        <v>16.809999999999999</v>
      </c>
      <c r="F32" s="36">
        <v>48.5</v>
      </c>
      <c r="G32" s="72">
        <v>14.55</v>
      </c>
      <c r="H32" s="19">
        <f t="shared" si="0"/>
        <v>3</v>
      </c>
      <c r="I32" s="19">
        <v>-60.6</v>
      </c>
      <c r="J32" s="19">
        <v>-58.16</v>
      </c>
      <c r="K32" s="74">
        <v>-56.4</v>
      </c>
    </row>
    <row r="33" spans="1:14" ht="49.5" customHeight="1" x14ac:dyDescent="0.3">
      <c r="A33" s="71">
        <v>7</v>
      </c>
      <c r="B33" s="4" t="s">
        <v>31</v>
      </c>
      <c r="C33" s="4" t="s">
        <v>108</v>
      </c>
      <c r="D33" s="38">
        <v>0</v>
      </c>
      <c r="E33" s="36">
        <v>0</v>
      </c>
      <c r="F33" s="36">
        <v>0</v>
      </c>
      <c r="G33" s="72">
        <v>0</v>
      </c>
      <c r="H33" s="19">
        <v>0</v>
      </c>
      <c r="I33" s="19">
        <v>0</v>
      </c>
      <c r="J33" s="19">
        <v>0</v>
      </c>
      <c r="K33" s="74">
        <v>0</v>
      </c>
    </row>
    <row r="34" spans="1:14" ht="22.5" x14ac:dyDescent="0.3">
      <c r="A34" s="71">
        <v>8</v>
      </c>
      <c r="B34" s="5" t="s">
        <v>37</v>
      </c>
      <c r="C34" s="5" t="s">
        <v>109</v>
      </c>
      <c r="D34" s="38">
        <v>0</v>
      </c>
      <c r="E34" s="36">
        <v>0</v>
      </c>
      <c r="F34" s="36">
        <v>0</v>
      </c>
      <c r="G34" s="72">
        <v>0</v>
      </c>
      <c r="H34" s="19">
        <v>0</v>
      </c>
      <c r="I34" s="19">
        <v>0</v>
      </c>
      <c r="J34" s="19">
        <v>0</v>
      </c>
      <c r="K34" s="74">
        <v>0</v>
      </c>
    </row>
    <row r="35" spans="1:14" ht="57.6" customHeight="1" x14ac:dyDescent="0.3">
      <c r="A35" s="71">
        <v>9</v>
      </c>
      <c r="B35" s="4" t="s">
        <v>32</v>
      </c>
      <c r="C35" s="13" t="s">
        <v>56</v>
      </c>
      <c r="D35" s="85">
        <v>0.22</v>
      </c>
      <c r="E35" s="36">
        <v>0.19</v>
      </c>
      <c r="F35" s="36">
        <v>0.36</v>
      </c>
      <c r="G35" s="72">
        <v>0.18</v>
      </c>
      <c r="H35" s="19">
        <f t="shared" si="0"/>
        <v>5</v>
      </c>
      <c r="I35" s="19">
        <v>-34.33</v>
      </c>
      <c r="J35" s="19">
        <v>-30.26</v>
      </c>
      <c r="K35" s="74">
        <v>-27.33</v>
      </c>
    </row>
    <row r="36" spans="1:14" ht="15" customHeight="1" x14ac:dyDescent="0.3">
      <c r="A36" s="71">
        <v>10</v>
      </c>
      <c r="B36" s="6" t="s">
        <v>110</v>
      </c>
      <c r="C36" s="15" t="s">
        <v>111</v>
      </c>
      <c r="D36" s="38">
        <v>22.15</v>
      </c>
      <c r="E36" s="36">
        <v>17.8</v>
      </c>
      <c r="F36" s="36">
        <v>23.6</v>
      </c>
      <c r="G36" s="72">
        <v>18</v>
      </c>
      <c r="H36" s="19">
        <f t="shared" si="0"/>
        <v>7.6271186440677958</v>
      </c>
      <c r="I36" s="19">
        <v>0.19</v>
      </c>
      <c r="J36" s="19">
        <v>6.39</v>
      </c>
      <c r="K36" s="74">
        <v>10.88</v>
      </c>
    </row>
    <row r="37" spans="1:14" ht="15" thickBot="1" x14ac:dyDescent="0.35">
      <c r="A37" s="71">
        <v>11</v>
      </c>
      <c r="B37" s="5" t="s">
        <v>63</v>
      </c>
      <c r="C37" s="86" t="s">
        <v>24</v>
      </c>
      <c r="D37" s="51">
        <v>1.73</v>
      </c>
      <c r="E37" s="51">
        <v>2.73</v>
      </c>
      <c r="F37" s="51">
        <v>2.16</v>
      </c>
      <c r="G37" s="87">
        <v>3.21</v>
      </c>
      <c r="H37" s="88">
        <f t="shared" si="0"/>
        <v>14.861111111111109</v>
      </c>
      <c r="I37" s="88">
        <v>94.97</v>
      </c>
      <c r="J37" s="88">
        <v>107.04</v>
      </c>
      <c r="K37" s="89">
        <v>115.77</v>
      </c>
    </row>
    <row r="38" spans="1:14" ht="13.5" thickBot="1" x14ac:dyDescent="0.25">
      <c r="A38" s="90"/>
      <c r="B38" s="303" t="s">
        <v>34</v>
      </c>
      <c r="C38" s="304"/>
      <c r="D38" s="266">
        <f>SUM(D27:D37)</f>
        <v>1222.19</v>
      </c>
      <c r="E38" s="266">
        <f>SUM(E27:E37)</f>
        <v>1056.48</v>
      </c>
      <c r="F38" s="266">
        <f>SUM(F27:F37)</f>
        <v>1250.05</v>
      </c>
      <c r="G38" s="267">
        <f>SUM(G27:G37)</f>
        <v>1087.3200000000002</v>
      </c>
      <c r="H38" s="265">
        <f t="shared" si="0"/>
        <v>8.6982120715171405</v>
      </c>
      <c r="I38" s="280">
        <v>14.24</v>
      </c>
      <c r="J38" s="264">
        <v>21.31</v>
      </c>
      <c r="K38" s="281">
        <v>26.43</v>
      </c>
    </row>
    <row r="39" spans="1:14" ht="13.5" thickBot="1" x14ac:dyDescent="0.25">
      <c r="A39" s="90"/>
      <c r="B39" s="303" t="s">
        <v>35</v>
      </c>
      <c r="C39" s="304"/>
      <c r="D39" s="266">
        <f>D26+D38</f>
        <v>5551.3700000000008</v>
      </c>
      <c r="E39" s="282">
        <f>E38+E26</f>
        <v>4146.1100000000006</v>
      </c>
      <c r="F39" s="268">
        <f>F38+F26</f>
        <v>5265.6500000000005</v>
      </c>
      <c r="G39" s="267">
        <f>G38+G26</f>
        <v>3926.4299999999994</v>
      </c>
      <c r="H39" s="265">
        <f t="shared" si="0"/>
        <v>7.456686259056335</v>
      </c>
      <c r="I39" s="264">
        <v>-2.12</v>
      </c>
      <c r="J39" s="264">
        <v>3.94</v>
      </c>
      <c r="K39" s="281">
        <v>8.33</v>
      </c>
      <c r="L39" s="8"/>
    </row>
    <row r="40" spans="1:14" ht="13.9" customHeight="1" x14ac:dyDescent="0.2">
      <c r="A40" s="94"/>
      <c r="B40" s="308" t="s">
        <v>39</v>
      </c>
      <c r="C40" s="308"/>
      <c r="D40" s="283"/>
      <c r="E40" s="284">
        <v>77.03</v>
      </c>
      <c r="F40" s="283"/>
      <c r="G40" s="284">
        <v>84.9</v>
      </c>
      <c r="H40" s="294"/>
      <c r="I40" s="295"/>
      <c r="J40" s="296"/>
      <c r="K40" s="297"/>
    </row>
    <row r="41" spans="1:14" ht="13.9" customHeight="1" x14ac:dyDescent="0.2">
      <c r="A41" s="94"/>
      <c r="B41" s="309" t="s">
        <v>112</v>
      </c>
      <c r="C41" s="309"/>
      <c r="D41" s="285">
        <v>2.88</v>
      </c>
      <c r="E41" s="286"/>
      <c r="F41" s="285">
        <f>2.88</f>
        <v>2.88</v>
      </c>
      <c r="G41" s="286"/>
      <c r="H41" s="290"/>
      <c r="I41" s="291"/>
      <c r="J41" s="292"/>
      <c r="K41" s="293"/>
      <c r="N41" s="8"/>
    </row>
    <row r="42" spans="1:14" ht="20.25" customHeight="1" thickBot="1" x14ac:dyDescent="0.25">
      <c r="A42" s="94"/>
      <c r="B42" s="302" t="s">
        <v>113</v>
      </c>
      <c r="C42" s="302"/>
      <c r="D42" s="287">
        <v>41.94</v>
      </c>
      <c r="E42" s="288">
        <v>29.36</v>
      </c>
      <c r="F42" s="287"/>
      <c r="G42" s="288"/>
      <c r="H42" s="298"/>
      <c r="I42" s="299"/>
      <c r="J42" s="300"/>
      <c r="K42" s="301"/>
      <c r="N42" s="8"/>
    </row>
    <row r="43" spans="1:14" ht="13.5" thickBot="1" x14ac:dyDescent="0.25">
      <c r="A43" s="90"/>
      <c r="B43" s="303" t="s">
        <v>36</v>
      </c>
      <c r="C43" s="304"/>
      <c r="D43" s="267">
        <f>D39+D40+D41+D42</f>
        <v>5596.1900000000005</v>
      </c>
      <c r="E43" s="267">
        <f>E39+E40+E42</f>
        <v>4252.5</v>
      </c>
      <c r="F43" s="267">
        <f>F39+F40+F41+F42</f>
        <v>5268.5300000000007</v>
      </c>
      <c r="G43" s="267">
        <f>G39+G40+G42</f>
        <v>4011.3299999999995</v>
      </c>
      <c r="H43" s="265">
        <f t="shared" si="0"/>
        <v>7.6137556396186392</v>
      </c>
      <c r="I43" s="282">
        <v>0</v>
      </c>
      <c r="J43" s="282"/>
      <c r="K43" s="289"/>
      <c r="N43" s="8">
        <f>G43-3998.35</f>
        <v>12.979999999999563</v>
      </c>
    </row>
    <row r="44" spans="1:14" x14ac:dyDescent="0.2">
      <c r="A44" s="9"/>
      <c r="B44" s="113"/>
      <c r="C44" s="113"/>
      <c r="D44" s="14"/>
      <c r="E44" s="14"/>
      <c r="F44" s="14"/>
      <c r="G44" s="76"/>
      <c r="H44" s="114"/>
      <c r="I44" s="115"/>
    </row>
    <row r="45" spans="1:14" x14ac:dyDescent="0.2">
      <c r="A45" s="10" t="s">
        <v>114</v>
      </c>
      <c r="B45" s="116"/>
      <c r="C45" s="116"/>
      <c r="D45" s="10"/>
      <c r="F45" s="10"/>
      <c r="G45" s="117"/>
      <c r="H45" s="114"/>
      <c r="I45" s="115"/>
    </row>
    <row r="46" spans="1:14" x14ac:dyDescent="0.2">
      <c r="A46" s="10" t="s">
        <v>155</v>
      </c>
      <c r="B46" s="116"/>
      <c r="C46" s="116"/>
      <c r="D46" s="10"/>
      <c r="E46" s="10"/>
      <c r="F46" s="10"/>
      <c r="G46" s="10"/>
      <c r="H46" s="10"/>
    </row>
    <row r="47" spans="1:14" x14ac:dyDescent="0.2">
      <c r="A47" s="10" t="s">
        <v>154</v>
      </c>
      <c r="B47" s="10"/>
      <c r="C47" s="10"/>
      <c r="D47" s="10"/>
      <c r="E47" s="118"/>
      <c r="G47" s="118"/>
      <c r="J47" s="119" t="s">
        <v>156</v>
      </c>
    </row>
    <row r="48" spans="1:14" x14ac:dyDescent="0.2">
      <c r="A48" s="118"/>
      <c r="B48" s="120"/>
      <c r="C48" s="120"/>
      <c r="D48" s="118"/>
      <c r="E48" s="118"/>
      <c r="F48" s="118"/>
      <c r="G48" s="118"/>
      <c r="H48" s="118"/>
    </row>
    <row r="49" spans="1:8" x14ac:dyDescent="0.2">
      <c r="A49" s="118"/>
      <c r="B49" s="120"/>
      <c r="C49" s="120"/>
      <c r="D49" s="118"/>
      <c r="E49" s="118"/>
      <c r="F49" s="118"/>
      <c r="G49" s="118"/>
      <c r="H49" s="118"/>
    </row>
    <row r="50" spans="1:8" x14ac:dyDescent="0.2">
      <c r="H50" s="8"/>
    </row>
    <row r="51" spans="1:8" hidden="1" x14ac:dyDescent="0.2">
      <c r="C51" t="s">
        <v>58</v>
      </c>
      <c r="D51" s="8">
        <f>G8+G10+G11+G36+G37</f>
        <v>1132.06</v>
      </c>
    </row>
    <row r="52" spans="1:8" hidden="1" x14ac:dyDescent="0.2">
      <c r="C52" t="s">
        <v>59</v>
      </c>
      <c r="D52" s="8">
        <f>G14+G15+G29</f>
        <v>664</v>
      </c>
    </row>
    <row r="53" spans="1:8" hidden="1" x14ac:dyDescent="0.2">
      <c r="C53" t="s">
        <v>60</v>
      </c>
      <c r="D53" s="8">
        <f>G20+G28</f>
        <v>661.6</v>
      </c>
    </row>
    <row r="54" spans="1:8" hidden="1" x14ac:dyDescent="0.2">
      <c r="C54" t="s">
        <v>61</v>
      </c>
      <c r="D54" s="8">
        <f>G16+G17+G18+G19+G35+G32</f>
        <v>1004.42</v>
      </c>
    </row>
    <row r="55" spans="1:8" hidden="1" x14ac:dyDescent="0.2">
      <c r="C55" t="s">
        <v>62</v>
      </c>
      <c r="D55" s="8">
        <f>G43-D51-D52-D53-D54</f>
        <v>549.24999999999966</v>
      </c>
    </row>
    <row r="56" spans="1:8" hidden="1" x14ac:dyDescent="0.2">
      <c r="C56" t="s">
        <v>57</v>
      </c>
      <c r="D56" s="8">
        <f>SUM(D51:D55)</f>
        <v>4011.3299999999995</v>
      </c>
    </row>
  </sheetData>
  <mergeCells count="18">
    <mergeCell ref="I3:K3"/>
    <mergeCell ref="A4:K4"/>
    <mergeCell ref="J5:K5"/>
    <mergeCell ref="A6:A7"/>
    <mergeCell ref="B6:B7"/>
    <mergeCell ref="C6:C7"/>
    <mergeCell ref="D6:E6"/>
    <mergeCell ref="H6:H7"/>
    <mergeCell ref="I6:I7"/>
    <mergeCell ref="J6:J7"/>
    <mergeCell ref="B42:C42"/>
    <mergeCell ref="B43:C43"/>
    <mergeCell ref="K6:K7"/>
    <mergeCell ref="B26:C26"/>
    <mergeCell ref="B38:C38"/>
    <mergeCell ref="B39:C39"/>
    <mergeCell ref="B40:C40"/>
    <mergeCell ref="B41:C41"/>
  </mergeCells>
  <pageMargins left="0.5" right="0" top="0.94" bottom="0.1" header="0.511811023622047" footer="0.511811023622047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P56"/>
  <sheetViews>
    <sheetView topLeftCell="A2" zoomScaleNormal="100" workbookViewId="0">
      <selection activeCell="F39" sqref="F39"/>
    </sheetView>
  </sheetViews>
  <sheetFormatPr defaultRowHeight="12.75" x14ac:dyDescent="0.2"/>
  <cols>
    <col min="2" max="2" width="6.5703125" customWidth="1"/>
    <col min="3" max="3" width="15.85546875" style="53" customWidth="1"/>
    <col min="4" max="4" width="24.140625" style="53" customWidth="1"/>
    <col min="6" max="6" width="10" customWidth="1"/>
    <col min="9" max="9" width="10.28515625" customWidth="1"/>
    <col min="10" max="10" width="11.28515625" customWidth="1"/>
    <col min="12" max="12" width="10.5703125" bestFit="1" customWidth="1"/>
    <col min="13" max="13" width="11" bestFit="1" customWidth="1"/>
  </cols>
  <sheetData>
    <row r="3" spans="1:14" ht="13.5" thickBot="1" x14ac:dyDescent="0.25">
      <c r="J3" s="310" t="s">
        <v>85</v>
      </c>
      <c r="K3" s="310"/>
      <c r="L3" s="310"/>
    </row>
    <row r="4" spans="1:14" ht="30.75" customHeight="1" thickBot="1" x14ac:dyDescent="0.25">
      <c r="B4" s="328" t="s">
        <v>86</v>
      </c>
      <c r="C4" s="329"/>
      <c r="D4" s="329"/>
      <c r="E4" s="329"/>
      <c r="F4" s="329"/>
      <c r="G4" s="329"/>
      <c r="H4" s="329"/>
      <c r="I4" s="329"/>
      <c r="J4" s="329"/>
      <c r="K4" s="329"/>
      <c r="L4" s="330"/>
    </row>
    <row r="5" spans="1:14" ht="26.25" customHeight="1" thickBot="1" x14ac:dyDescent="0.25">
      <c r="B5" s="54"/>
      <c r="C5" s="55"/>
      <c r="D5" s="55"/>
      <c r="E5" s="56"/>
      <c r="F5" s="56"/>
      <c r="G5" s="56"/>
      <c r="H5" s="56"/>
      <c r="I5" s="56"/>
      <c r="J5" s="35" t="s">
        <v>73</v>
      </c>
      <c r="K5" s="331" t="s">
        <v>75</v>
      </c>
      <c r="L5" s="332"/>
    </row>
    <row r="6" spans="1:14" ht="13.5" customHeight="1" thickBot="1" x14ac:dyDescent="0.25">
      <c r="B6" s="316" t="s">
        <v>1</v>
      </c>
      <c r="C6" s="318" t="s">
        <v>2</v>
      </c>
      <c r="D6" s="318" t="s">
        <v>3</v>
      </c>
      <c r="E6" s="320" t="s">
        <v>87</v>
      </c>
      <c r="F6" s="321"/>
      <c r="G6" s="57" t="s">
        <v>0</v>
      </c>
      <c r="H6" s="58"/>
      <c r="I6" s="322" t="s">
        <v>69</v>
      </c>
      <c r="J6" s="324" t="s">
        <v>74</v>
      </c>
      <c r="K6" s="326" t="s">
        <v>71</v>
      </c>
      <c r="L6" s="305" t="s">
        <v>72</v>
      </c>
    </row>
    <row r="7" spans="1:14" ht="32.25" customHeight="1" thickBot="1" x14ac:dyDescent="0.25">
      <c r="B7" s="317"/>
      <c r="C7" s="319"/>
      <c r="D7" s="319"/>
      <c r="E7" s="59" t="s">
        <v>4</v>
      </c>
      <c r="F7" s="60" t="s">
        <v>5</v>
      </c>
      <c r="G7" s="61" t="s">
        <v>4</v>
      </c>
      <c r="H7" s="62" t="s">
        <v>5</v>
      </c>
      <c r="I7" s="323"/>
      <c r="J7" s="333"/>
      <c r="K7" s="327"/>
      <c r="L7" s="306"/>
    </row>
    <row r="8" spans="1:14" ht="25.5" customHeight="1" x14ac:dyDescent="0.2">
      <c r="A8" s="63"/>
      <c r="B8" s="64">
        <v>1</v>
      </c>
      <c r="C8" s="65" t="s">
        <v>6</v>
      </c>
      <c r="D8" s="15" t="s">
        <v>79</v>
      </c>
      <c r="E8" s="37">
        <v>34.21</v>
      </c>
      <c r="F8" s="37">
        <v>27.68</v>
      </c>
      <c r="G8" s="37">
        <v>34.21</v>
      </c>
      <c r="H8" s="66">
        <v>24.42</v>
      </c>
      <c r="I8" s="20">
        <f>H8/G8*10</f>
        <v>7.1382636655948559</v>
      </c>
      <c r="J8" s="253">
        <v>-42.64</v>
      </c>
      <c r="K8" s="67"/>
      <c r="L8" s="68"/>
    </row>
    <row r="9" spans="1:14" ht="25.5" customHeight="1" x14ac:dyDescent="0.2">
      <c r="A9" s="63"/>
      <c r="B9" s="69">
        <v>2</v>
      </c>
      <c r="C9" s="70" t="s">
        <v>82</v>
      </c>
      <c r="D9" s="15" t="s">
        <v>80</v>
      </c>
      <c r="E9" s="37">
        <v>12.6</v>
      </c>
      <c r="F9" s="37">
        <v>7.2</v>
      </c>
      <c r="G9" s="37">
        <v>12.6</v>
      </c>
      <c r="H9" s="66">
        <v>5.16</v>
      </c>
      <c r="I9" s="20">
        <f>H9/G9*10</f>
        <v>4.0952380952380958</v>
      </c>
      <c r="J9" s="253"/>
      <c r="K9" s="20"/>
      <c r="L9" s="68"/>
    </row>
    <row r="10" spans="1:14" ht="34.15" customHeight="1" x14ac:dyDescent="0.3">
      <c r="A10" s="46"/>
      <c r="B10" s="71">
        <v>3</v>
      </c>
      <c r="C10" s="4" t="s">
        <v>7</v>
      </c>
      <c r="D10" s="4" t="s">
        <v>88</v>
      </c>
      <c r="E10" s="36">
        <v>756.84</v>
      </c>
      <c r="F10" s="36">
        <v>571.48</v>
      </c>
      <c r="G10" s="36">
        <v>754.75</v>
      </c>
      <c r="H10" s="72">
        <v>554.69000000000005</v>
      </c>
      <c r="I10" s="19">
        <f t="shared" ref="I10:I39" si="0">H10/G10*10</f>
        <v>7.3493209672076851</v>
      </c>
      <c r="J10" s="253">
        <v>3.01</v>
      </c>
      <c r="K10" s="73"/>
      <c r="L10" s="74"/>
    </row>
    <row r="11" spans="1:14" ht="28.15" customHeight="1" x14ac:dyDescent="0.3">
      <c r="A11" s="46"/>
      <c r="B11" s="75">
        <v>4</v>
      </c>
      <c r="C11" s="4" t="s">
        <v>8</v>
      </c>
      <c r="D11" s="4" t="s">
        <v>89</v>
      </c>
      <c r="E11" s="36">
        <v>679.85</v>
      </c>
      <c r="F11" s="36">
        <v>457.24</v>
      </c>
      <c r="G11" s="76">
        <v>678.51</v>
      </c>
      <c r="H11" s="72">
        <v>408.52</v>
      </c>
      <c r="I11" s="19">
        <f t="shared" si="0"/>
        <v>6.0208397812854635</v>
      </c>
      <c r="J11" s="253">
        <v>-15.61</v>
      </c>
      <c r="K11" s="73"/>
      <c r="L11" s="74"/>
    </row>
    <row r="12" spans="1:14" ht="38.25" customHeight="1" x14ac:dyDescent="0.3">
      <c r="A12" s="46"/>
      <c r="B12" s="71">
        <v>5</v>
      </c>
      <c r="C12" s="4" t="s">
        <v>10</v>
      </c>
      <c r="D12" s="4" t="s">
        <v>90</v>
      </c>
      <c r="E12" s="76">
        <v>8.32</v>
      </c>
      <c r="F12" s="36">
        <v>8.7100000000000009</v>
      </c>
      <c r="G12" s="36">
        <v>7.89</v>
      </c>
      <c r="H12" s="72">
        <v>7.01</v>
      </c>
      <c r="I12" s="19">
        <f t="shared" si="0"/>
        <v>8.8846641318124213</v>
      </c>
      <c r="J12" s="253">
        <v>24.48</v>
      </c>
      <c r="K12" s="73"/>
      <c r="L12" s="74"/>
      <c r="N12" s="8">
        <f>H26-2257.81</f>
        <v>326.20999999999958</v>
      </c>
    </row>
    <row r="13" spans="1:14" ht="33.75" x14ac:dyDescent="0.3">
      <c r="A13" s="46"/>
      <c r="B13" s="75">
        <v>6</v>
      </c>
      <c r="C13" s="4" t="s">
        <v>11</v>
      </c>
      <c r="D13" s="4" t="s">
        <v>91</v>
      </c>
      <c r="E13" s="36">
        <v>6.09</v>
      </c>
      <c r="F13" s="36">
        <v>6.1</v>
      </c>
      <c r="G13" s="36">
        <v>7.29</v>
      </c>
      <c r="H13" s="72">
        <v>5.35</v>
      </c>
      <c r="I13" s="19">
        <f t="shared" si="0"/>
        <v>7.3388203017832643</v>
      </c>
      <c r="J13" s="253">
        <v>2.92</v>
      </c>
      <c r="K13" s="73"/>
      <c r="L13" s="74"/>
    </row>
    <row r="14" spans="1:14" ht="33.75" x14ac:dyDescent="0.3">
      <c r="A14" s="46"/>
      <c r="B14" s="71">
        <v>7</v>
      </c>
      <c r="C14" s="4" t="s">
        <v>13</v>
      </c>
      <c r="D14" s="4" t="s">
        <v>92</v>
      </c>
      <c r="E14" s="36">
        <v>258.95999999999998</v>
      </c>
      <c r="F14" s="36">
        <v>269.58999999999997</v>
      </c>
      <c r="G14" s="36">
        <v>257.86</v>
      </c>
      <c r="H14" s="72">
        <v>266.44</v>
      </c>
      <c r="I14" s="19">
        <f t="shared" si="0"/>
        <v>10.332738695416117</v>
      </c>
      <c r="J14" s="253">
        <v>44.83</v>
      </c>
      <c r="K14" s="19"/>
      <c r="L14" s="74"/>
    </row>
    <row r="15" spans="1:14" ht="23.25" customHeight="1" x14ac:dyDescent="0.3">
      <c r="A15" s="46"/>
      <c r="B15" s="75">
        <v>8</v>
      </c>
      <c r="C15" s="4" t="s">
        <v>14</v>
      </c>
      <c r="D15" s="4" t="s">
        <v>93</v>
      </c>
      <c r="E15" s="36">
        <v>140.09</v>
      </c>
      <c r="F15" s="36">
        <v>134.11000000000001</v>
      </c>
      <c r="G15" s="36">
        <v>132.83000000000001</v>
      </c>
      <c r="H15" s="72">
        <v>123.87</v>
      </c>
      <c r="I15" s="19">
        <f t="shared" si="0"/>
        <v>9.3254535872920261</v>
      </c>
      <c r="J15" s="253">
        <v>30.71</v>
      </c>
      <c r="K15" s="73"/>
      <c r="L15" s="74"/>
    </row>
    <row r="16" spans="1:14" ht="14.25" x14ac:dyDescent="0.3">
      <c r="A16" s="46"/>
      <c r="B16" s="71">
        <v>9</v>
      </c>
      <c r="C16" s="4" t="s">
        <v>94</v>
      </c>
      <c r="D16" s="4" t="s">
        <v>40</v>
      </c>
      <c r="E16" s="36">
        <v>1730.8</v>
      </c>
      <c r="F16" s="17">
        <v>1201.18</v>
      </c>
      <c r="G16" s="17">
        <v>1669.16</v>
      </c>
      <c r="H16" s="72">
        <v>919.71</v>
      </c>
      <c r="I16" s="19">
        <f t="shared" si="0"/>
        <v>5.5100170145462393</v>
      </c>
      <c r="J16" s="253">
        <v>-22.77</v>
      </c>
      <c r="K16" s="73"/>
      <c r="L16" s="74"/>
    </row>
    <row r="17" spans="1:12" ht="14.25" x14ac:dyDescent="0.3">
      <c r="A17" s="46"/>
      <c r="B17" s="75">
        <v>10</v>
      </c>
      <c r="C17" s="4" t="s">
        <v>17</v>
      </c>
      <c r="D17" s="4" t="s">
        <v>18</v>
      </c>
      <c r="E17" s="77">
        <v>0.93</v>
      </c>
      <c r="F17" s="36">
        <v>0.86</v>
      </c>
      <c r="G17" s="36">
        <v>0.93</v>
      </c>
      <c r="H17" s="72">
        <v>0.64</v>
      </c>
      <c r="I17" s="19">
        <f t="shared" si="0"/>
        <v>6.8817204301075261</v>
      </c>
      <c r="J17" s="253">
        <v>-3.54</v>
      </c>
      <c r="K17" s="19"/>
      <c r="L17" s="74"/>
    </row>
    <row r="18" spans="1:12" ht="33.75" x14ac:dyDescent="0.3">
      <c r="A18" s="46"/>
      <c r="B18" s="71">
        <v>11</v>
      </c>
      <c r="C18" s="4" t="s">
        <v>54</v>
      </c>
      <c r="D18" s="4" t="s">
        <v>95</v>
      </c>
      <c r="E18" s="36">
        <v>4.17</v>
      </c>
      <c r="F18" s="36">
        <v>2.96</v>
      </c>
      <c r="G18" s="36">
        <v>4.6399999999999997</v>
      </c>
      <c r="H18" s="72">
        <v>3.06</v>
      </c>
      <c r="I18" s="19">
        <f t="shared" si="0"/>
        <v>6.5948275862068968</v>
      </c>
      <c r="J18" s="258">
        <v>-7.64</v>
      </c>
      <c r="K18" s="19"/>
      <c r="L18" s="74"/>
    </row>
    <row r="19" spans="1:12" ht="33.75" x14ac:dyDescent="0.3">
      <c r="A19" s="46"/>
      <c r="B19" s="75">
        <v>12</v>
      </c>
      <c r="C19" s="4" t="s">
        <v>55</v>
      </c>
      <c r="D19" s="4" t="s">
        <v>96</v>
      </c>
      <c r="E19" s="36">
        <v>3.74</v>
      </c>
      <c r="F19" s="36">
        <v>3.38</v>
      </c>
      <c r="G19" s="36">
        <v>4.17</v>
      </c>
      <c r="H19" s="72">
        <v>3.24</v>
      </c>
      <c r="I19" s="19">
        <f t="shared" si="0"/>
        <v>7.769784172661871</v>
      </c>
      <c r="J19" s="258">
        <v>9</v>
      </c>
      <c r="K19" s="73"/>
      <c r="L19" s="74"/>
    </row>
    <row r="20" spans="1:12" ht="15" customHeight="1" x14ac:dyDescent="0.3">
      <c r="A20" s="46"/>
      <c r="B20" s="71">
        <v>13</v>
      </c>
      <c r="C20" s="4" t="s">
        <v>97</v>
      </c>
      <c r="D20" s="4" t="s">
        <v>98</v>
      </c>
      <c r="E20" s="36">
        <v>47.95</v>
      </c>
      <c r="F20" s="36">
        <v>39.9</v>
      </c>
      <c r="G20" s="36">
        <v>56.45</v>
      </c>
      <c r="H20" s="72">
        <v>45.69</v>
      </c>
      <c r="I20" s="19">
        <f t="shared" si="0"/>
        <v>8.0938883968113355</v>
      </c>
      <c r="J20" s="253">
        <v>13.44</v>
      </c>
      <c r="K20" s="73"/>
      <c r="L20" s="74"/>
    </row>
    <row r="21" spans="1:12" ht="15" customHeight="1" x14ac:dyDescent="0.3">
      <c r="A21" s="46"/>
      <c r="B21" s="75">
        <v>14</v>
      </c>
      <c r="C21" s="4" t="s">
        <v>99</v>
      </c>
      <c r="D21" s="4" t="s">
        <v>98</v>
      </c>
      <c r="E21" s="36">
        <v>93.65</v>
      </c>
      <c r="F21" s="36">
        <v>88.6</v>
      </c>
      <c r="G21" s="36">
        <v>84.68</v>
      </c>
      <c r="H21" s="72">
        <v>73.56</v>
      </c>
      <c r="I21" s="19">
        <f t="shared" si="0"/>
        <v>8.6868209730751058</v>
      </c>
      <c r="J21" s="253">
        <v>21.76</v>
      </c>
      <c r="K21" s="73"/>
      <c r="L21" s="74"/>
    </row>
    <row r="22" spans="1:12" ht="14.25" x14ac:dyDescent="0.3">
      <c r="A22" s="46"/>
      <c r="B22" s="75">
        <v>15</v>
      </c>
      <c r="C22" s="4" t="s">
        <v>21</v>
      </c>
      <c r="D22" s="4" t="s">
        <v>22</v>
      </c>
      <c r="E22" s="36">
        <v>126.17</v>
      </c>
      <c r="F22" s="36">
        <v>86.22</v>
      </c>
      <c r="G22" s="36">
        <v>126.06</v>
      </c>
      <c r="H22" s="72">
        <v>70.23</v>
      </c>
      <c r="I22" s="19">
        <f t="shared" si="0"/>
        <v>5.5711565920990003</v>
      </c>
      <c r="J22" s="253">
        <v>-21.91</v>
      </c>
      <c r="K22" s="19"/>
      <c r="L22" s="74"/>
    </row>
    <row r="23" spans="1:12" ht="14.25" x14ac:dyDescent="0.3">
      <c r="A23" s="46"/>
      <c r="B23" s="71">
        <v>16</v>
      </c>
      <c r="C23" s="4" t="s">
        <v>21</v>
      </c>
      <c r="D23" s="4" t="s">
        <v>23</v>
      </c>
      <c r="E23" s="36">
        <v>72.34</v>
      </c>
      <c r="F23" s="36">
        <v>60</v>
      </c>
      <c r="G23" s="36">
        <v>72.34</v>
      </c>
      <c r="H23" s="72">
        <v>50.69</v>
      </c>
      <c r="I23" s="19">
        <f t="shared" si="0"/>
        <v>7.007188277578102</v>
      </c>
      <c r="J23" s="253">
        <v>-1.79</v>
      </c>
      <c r="K23" s="73"/>
      <c r="L23" s="74"/>
    </row>
    <row r="24" spans="1:12" ht="14.25" x14ac:dyDescent="0.3">
      <c r="A24" s="46"/>
      <c r="B24" s="71">
        <v>17</v>
      </c>
      <c r="C24" s="4" t="s">
        <v>77</v>
      </c>
      <c r="D24" s="4" t="s">
        <v>24</v>
      </c>
      <c r="E24" s="36">
        <v>19.48</v>
      </c>
      <c r="F24" s="36">
        <v>42.57</v>
      </c>
      <c r="G24" s="36">
        <v>19.45</v>
      </c>
      <c r="H24" s="38">
        <v>20.62</v>
      </c>
      <c r="I24" s="19">
        <f t="shared" si="0"/>
        <v>10.601542416452443</v>
      </c>
      <c r="J24" s="253">
        <v>48.6</v>
      </c>
      <c r="K24" s="78"/>
      <c r="L24" s="74"/>
    </row>
    <row r="25" spans="1:12" ht="23.25" thickBot="1" x14ac:dyDescent="0.35">
      <c r="A25" s="46"/>
      <c r="B25" s="138">
        <v>18</v>
      </c>
      <c r="C25" s="5" t="s">
        <v>100</v>
      </c>
      <c r="D25" s="5" t="s">
        <v>76</v>
      </c>
      <c r="E25" s="36">
        <v>0.93</v>
      </c>
      <c r="F25" s="36">
        <v>1.31</v>
      </c>
      <c r="G25" s="36">
        <v>0.96</v>
      </c>
      <c r="H25" s="38">
        <v>1.1299999999999999</v>
      </c>
      <c r="I25" s="88">
        <f t="shared" si="0"/>
        <v>11.770833333333332</v>
      </c>
      <c r="J25" s="259">
        <v>64.989999999999995</v>
      </c>
      <c r="K25" s="254"/>
      <c r="L25" s="89"/>
    </row>
    <row r="26" spans="1:12" ht="14.25" thickBot="1" x14ac:dyDescent="0.3">
      <c r="A26" s="79"/>
      <c r="B26" s="256"/>
      <c r="C26" s="336" t="s">
        <v>25</v>
      </c>
      <c r="D26" s="336"/>
      <c r="E26" s="41">
        <f>SUM(E8:E25)</f>
        <v>3997.1199999999994</v>
      </c>
      <c r="F26" s="41">
        <f>SUM(F8:F25)</f>
        <v>3009.09</v>
      </c>
      <c r="G26" s="93">
        <f>SUM(G8:G25)</f>
        <v>3924.7799999999997</v>
      </c>
      <c r="H26" s="257">
        <f>SUM(H8:H25)-0.01</f>
        <v>2584.0199999999995</v>
      </c>
      <c r="I26" s="21">
        <f>H26/G26*10</f>
        <v>6.5838594774738954</v>
      </c>
      <c r="J26" s="260">
        <v>-6.6</v>
      </c>
      <c r="K26" s="22"/>
      <c r="L26" s="92"/>
    </row>
    <row r="27" spans="1:12" ht="14.25" x14ac:dyDescent="0.3">
      <c r="A27" s="6"/>
      <c r="B27" s="75">
        <v>1</v>
      </c>
      <c r="C27" s="6" t="s">
        <v>26</v>
      </c>
      <c r="D27" s="6" t="s">
        <v>27</v>
      </c>
      <c r="E27" s="37">
        <v>96.43</v>
      </c>
      <c r="F27" s="37">
        <v>70.709999999999994</v>
      </c>
      <c r="G27" s="37">
        <v>99.38</v>
      </c>
      <c r="H27" s="83">
        <v>57.39</v>
      </c>
      <c r="I27" s="20">
        <f t="shared" si="0"/>
        <v>5.7748037834574362</v>
      </c>
      <c r="J27" s="255">
        <v>-19.059999999999999</v>
      </c>
      <c r="K27" s="20"/>
      <c r="L27" s="68"/>
    </row>
    <row r="28" spans="1:12" ht="14.25" x14ac:dyDescent="0.3">
      <c r="A28" s="4"/>
      <c r="B28" s="71">
        <v>2</v>
      </c>
      <c r="C28" s="4" t="s">
        <v>101</v>
      </c>
      <c r="D28" s="4" t="s">
        <v>102</v>
      </c>
      <c r="E28" s="36">
        <v>606.33000000000004</v>
      </c>
      <c r="F28" s="36">
        <v>577.97</v>
      </c>
      <c r="G28" s="36">
        <v>606.33000000000004</v>
      </c>
      <c r="H28" s="66">
        <v>525.11</v>
      </c>
      <c r="I28" s="20">
        <f t="shared" si="0"/>
        <v>8.6604654231194225</v>
      </c>
      <c r="J28" s="253">
        <v>21.39</v>
      </c>
      <c r="K28" s="19"/>
      <c r="L28" s="74"/>
    </row>
    <row r="29" spans="1:12" ht="13.5" customHeight="1" x14ac:dyDescent="0.3">
      <c r="A29" s="4"/>
      <c r="B29" s="71">
        <v>3</v>
      </c>
      <c r="C29" s="4" t="s">
        <v>103</v>
      </c>
      <c r="D29" s="4" t="s">
        <v>104</v>
      </c>
      <c r="E29" s="36">
        <v>207.21</v>
      </c>
      <c r="F29" s="36">
        <v>220.72</v>
      </c>
      <c r="G29" s="36">
        <v>207.21</v>
      </c>
      <c r="H29" s="72">
        <v>206.78</v>
      </c>
      <c r="I29" s="19">
        <f t="shared" si="0"/>
        <v>9.9792481057864002</v>
      </c>
      <c r="J29" s="253">
        <v>39.869999999999997</v>
      </c>
      <c r="K29" s="19"/>
      <c r="L29" s="74"/>
    </row>
    <row r="30" spans="1:12" ht="24.6" customHeight="1" x14ac:dyDescent="0.3">
      <c r="A30" s="4"/>
      <c r="B30" s="71">
        <v>4</v>
      </c>
      <c r="C30" s="84" t="s">
        <v>105</v>
      </c>
      <c r="D30" s="13" t="s">
        <v>67</v>
      </c>
      <c r="E30" s="36">
        <v>37.82</v>
      </c>
      <c r="F30" s="36">
        <v>34.93</v>
      </c>
      <c r="G30" s="36">
        <v>35.14</v>
      </c>
      <c r="H30" s="72">
        <v>27.58</v>
      </c>
      <c r="I30" s="19">
        <f t="shared" si="0"/>
        <v>7.8486055776892432</v>
      </c>
      <c r="J30" s="253">
        <v>10.01</v>
      </c>
      <c r="K30" s="19"/>
      <c r="L30" s="74"/>
    </row>
    <row r="31" spans="1:12" ht="35.25" customHeight="1" x14ac:dyDescent="0.3">
      <c r="A31" s="4"/>
      <c r="B31" s="71">
        <v>5</v>
      </c>
      <c r="C31" s="84" t="s">
        <v>106</v>
      </c>
      <c r="D31" s="13" t="s">
        <v>68</v>
      </c>
      <c r="E31" s="36">
        <v>99.25</v>
      </c>
      <c r="F31" s="36">
        <v>102.33</v>
      </c>
      <c r="G31" s="36">
        <v>103.6</v>
      </c>
      <c r="H31" s="72">
        <v>92.31</v>
      </c>
      <c r="I31" s="19">
        <f t="shared" si="0"/>
        <v>8.9102316602316609</v>
      </c>
      <c r="J31" s="258">
        <v>24.9</v>
      </c>
      <c r="K31" s="19"/>
      <c r="L31" s="74"/>
    </row>
    <row r="32" spans="1:12" ht="34.5" customHeight="1" x14ac:dyDescent="0.3">
      <c r="A32" s="4"/>
      <c r="B32" s="71">
        <v>6</v>
      </c>
      <c r="C32" s="4" t="s">
        <v>30</v>
      </c>
      <c r="D32" s="4" t="s">
        <v>107</v>
      </c>
      <c r="E32" s="38">
        <v>23.39</v>
      </c>
      <c r="F32" s="36">
        <v>11.45</v>
      </c>
      <c r="G32" s="36">
        <v>42.7</v>
      </c>
      <c r="H32" s="72">
        <v>11.74</v>
      </c>
      <c r="I32" s="19">
        <f t="shared" si="0"/>
        <v>2.7494145199063231</v>
      </c>
      <c r="J32" s="253">
        <v>-61.46</v>
      </c>
      <c r="K32" s="19"/>
      <c r="L32" s="74"/>
    </row>
    <row r="33" spans="1:16" ht="49.5" customHeight="1" x14ac:dyDescent="0.3">
      <c r="A33" s="4"/>
      <c r="B33" s="71">
        <v>7</v>
      </c>
      <c r="C33" s="4" t="s">
        <v>31</v>
      </c>
      <c r="D33" s="4" t="s">
        <v>108</v>
      </c>
      <c r="E33" s="38">
        <v>0</v>
      </c>
      <c r="F33" s="36">
        <v>0.02</v>
      </c>
      <c r="G33" s="36">
        <v>0.04</v>
      </c>
      <c r="H33" s="72">
        <v>2.1000000000000001E-2</v>
      </c>
      <c r="I33" s="19">
        <v>3.9</v>
      </c>
      <c r="J33" s="253">
        <v>-26.33</v>
      </c>
      <c r="K33" s="19"/>
      <c r="L33" s="74"/>
    </row>
    <row r="34" spans="1:16" ht="22.5" x14ac:dyDescent="0.3">
      <c r="A34" s="4"/>
      <c r="B34" s="71">
        <v>8</v>
      </c>
      <c r="C34" s="5" t="s">
        <v>37</v>
      </c>
      <c r="D34" s="5" t="s">
        <v>109</v>
      </c>
      <c r="E34" s="38">
        <v>0</v>
      </c>
      <c r="F34" s="36">
        <v>0</v>
      </c>
      <c r="G34" s="36">
        <v>0</v>
      </c>
      <c r="H34" s="72">
        <v>0</v>
      </c>
      <c r="I34" s="19">
        <v>0</v>
      </c>
      <c r="J34" s="253"/>
      <c r="K34" s="19"/>
      <c r="L34" s="74"/>
    </row>
    <row r="35" spans="1:16" ht="57.6" customHeight="1" x14ac:dyDescent="0.3">
      <c r="A35" s="4"/>
      <c r="B35" s="71">
        <v>9</v>
      </c>
      <c r="C35" s="4" t="s">
        <v>32</v>
      </c>
      <c r="D35" s="13" t="s">
        <v>56</v>
      </c>
      <c r="E35" s="85">
        <v>0.22</v>
      </c>
      <c r="F35" s="36">
        <v>0.19</v>
      </c>
      <c r="G35" s="36">
        <v>0.36</v>
      </c>
      <c r="H35" s="72">
        <v>0.17</v>
      </c>
      <c r="I35" s="19">
        <f t="shared" si="0"/>
        <v>4.7222222222222223</v>
      </c>
      <c r="J35" s="17">
        <v>-33.81</v>
      </c>
      <c r="K35" s="19"/>
      <c r="L35" s="74"/>
    </row>
    <row r="36" spans="1:16" ht="15" customHeight="1" x14ac:dyDescent="0.3">
      <c r="A36" s="4"/>
      <c r="B36" s="71">
        <v>10</v>
      </c>
      <c r="C36" s="6" t="s">
        <v>110</v>
      </c>
      <c r="D36" s="15" t="s">
        <v>111</v>
      </c>
      <c r="E36" s="38">
        <v>21.59</v>
      </c>
      <c r="F36" s="36">
        <v>17.8</v>
      </c>
      <c r="G36" s="36">
        <v>21.59</v>
      </c>
      <c r="H36" s="72">
        <v>15.91</v>
      </c>
      <c r="I36" s="19">
        <f t="shared" si="0"/>
        <v>7.3691523853635941</v>
      </c>
      <c r="J36" s="19">
        <v>3.3</v>
      </c>
      <c r="K36" s="19"/>
      <c r="L36" s="74"/>
    </row>
    <row r="37" spans="1:16" ht="15" thickBot="1" x14ac:dyDescent="0.35">
      <c r="A37" s="4"/>
      <c r="B37" s="71">
        <v>11</v>
      </c>
      <c r="C37" s="5" t="s">
        <v>63</v>
      </c>
      <c r="D37" s="86" t="s">
        <v>24</v>
      </c>
      <c r="E37" s="51">
        <v>5.96</v>
      </c>
      <c r="F37" s="51">
        <v>8.58</v>
      </c>
      <c r="G37" s="51">
        <v>5.96</v>
      </c>
      <c r="H37" s="87">
        <v>7.3</v>
      </c>
      <c r="I37" s="88">
        <f t="shared" si="0"/>
        <v>12.248322147651008</v>
      </c>
      <c r="J37" s="88">
        <v>71.75</v>
      </c>
      <c r="K37" s="88"/>
      <c r="L37" s="89"/>
    </row>
    <row r="38" spans="1:16" ht="13.5" thickBot="1" x14ac:dyDescent="0.25">
      <c r="A38" s="4"/>
      <c r="B38" s="90"/>
      <c r="C38" s="335" t="s">
        <v>34</v>
      </c>
      <c r="D38" s="336"/>
      <c r="E38" s="41">
        <f>SUM(E27:E37)</f>
        <v>1098.2</v>
      </c>
      <c r="F38" s="41">
        <f>SUM(F27:F37)+0.02</f>
        <v>1044.72</v>
      </c>
      <c r="G38" s="41">
        <f>SUM(G27:G37)</f>
        <v>1122.31</v>
      </c>
      <c r="H38" s="42">
        <f>SUM(H27:H37)</f>
        <v>944.31099999999992</v>
      </c>
      <c r="I38" s="23">
        <f t="shared" si="0"/>
        <v>8.4139943509369068</v>
      </c>
      <c r="J38" s="91">
        <v>17.940000000000001</v>
      </c>
      <c r="K38" s="22"/>
      <c r="L38" s="92"/>
    </row>
    <row r="39" spans="1:16" ht="13.5" thickBot="1" x14ac:dyDescent="0.25">
      <c r="A39" s="4"/>
      <c r="B39" s="90"/>
      <c r="C39" s="335" t="s">
        <v>35</v>
      </c>
      <c r="D39" s="336"/>
      <c r="E39" s="41">
        <f>E26+E38</f>
        <v>5095.32</v>
      </c>
      <c r="F39" s="93">
        <f>F38+F26</f>
        <v>4053.8100000000004</v>
      </c>
      <c r="G39" s="52">
        <f>G38+G26</f>
        <v>5047.09</v>
      </c>
      <c r="H39" s="42">
        <f>H38+H26+0.01</f>
        <v>3528.3409999999994</v>
      </c>
      <c r="I39" s="23">
        <f t="shared" si="0"/>
        <v>6.9908422477110559</v>
      </c>
      <c r="J39" s="91">
        <v>-2.0099999999999998</v>
      </c>
      <c r="K39" s="22"/>
      <c r="L39" s="92"/>
    </row>
    <row r="40" spans="1:16" ht="13.9" customHeight="1" x14ac:dyDescent="0.2">
      <c r="B40" s="94"/>
      <c r="C40" s="337" t="s">
        <v>39</v>
      </c>
      <c r="D40" s="337"/>
      <c r="E40" s="37"/>
      <c r="F40" s="95">
        <v>73.44</v>
      </c>
      <c r="G40" s="37"/>
      <c r="H40" s="96">
        <v>74.900000000000006</v>
      </c>
      <c r="I40" s="97"/>
      <c r="J40" s="98"/>
      <c r="K40" s="99"/>
      <c r="L40" s="100"/>
    </row>
    <row r="41" spans="1:16" ht="13.9" customHeight="1" x14ac:dyDescent="0.2">
      <c r="B41" s="94"/>
      <c r="C41" s="338" t="s">
        <v>112</v>
      </c>
      <c r="D41" s="339"/>
      <c r="E41" s="36">
        <v>0</v>
      </c>
      <c r="F41" s="101"/>
      <c r="G41" s="36">
        <v>3.43</v>
      </c>
      <c r="H41" s="102"/>
      <c r="I41" s="103"/>
      <c r="J41" s="104"/>
      <c r="K41" s="105"/>
      <c r="L41" s="106"/>
    </row>
    <row r="42" spans="1:16" ht="20.25" customHeight="1" thickBot="1" x14ac:dyDescent="0.25">
      <c r="B42" s="94"/>
      <c r="C42" s="334" t="s">
        <v>113</v>
      </c>
      <c r="D42" s="334"/>
      <c r="E42" s="51">
        <v>39.6</v>
      </c>
      <c r="F42" s="107">
        <v>28.28</v>
      </c>
      <c r="G42" s="51"/>
      <c r="H42" s="108"/>
      <c r="I42" s="109"/>
      <c r="J42" s="110"/>
      <c r="K42" s="111"/>
      <c r="L42" s="112"/>
    </row>
    <row r="43" spans="1:16" ht="13.5" thickBot="1" x14ac:dyDescent="0.25">
      <c r="B43" s="90"/>
      <c r="C43" s="335" t="s">
        <v>36</v>
      </c>
      <c r="D43" s="336"/>
      <c r="E43" s="42">
        <f>E39+E40+E41+E42</f>
        <v>5134.92</v>
      </c>
      <c r="F43" s="42">
        <f>F39+F40+F42</f>
        <v>4155.53</v>
      </c>
      <c r="G43" s="42">
        <f>G39+G41</f>
        <v>5050.5200000000004</v>
      </c>
      <c r="H43" s="42">
        <f>H39+H40+H42</f>
        <v>3603.2409999999995</v>
      </c>
      <c r="I43" s="23">
        <f>H43/G43*10</f>
        <v>7.1343960621876548</v>
      </c>
      <c r="J43" s="93"/>
      <c r="K43" s="93"/>
      <c r="L43" s="93"/>
      <c r="N43" s="8">
        <f>E43-[1]MESCOM!$E$43</f>
        <v>882.42000000000007</v>
      </c>
      <c r="O43" s="8">
        <f>F43-[1]MESCOM!$F$43</f>
        <v>4155.53</v>
      </c>
      <c r="P43" s="8">
        <f>G43-[1]MESCOM!$G$43</f>
        <v>5050.5200000000004</v>
      </c>
    </row>
    <row r="44" spans="1:16" x14ac:dyDescent="0.2">
      <c r="B44" s="9"/>
      <c r="C44" s="113"/>
      <c r="D44" s="113"/>
      <c r="E44" s="14"/>
      <c r="F44" s="14"/>
      <c r="G44" s="14"/>
      <c r="H44" s="76"/>
      <c r="I44" s="114"/>
      <c r="J44" s="115"/>
    </row>
    <row r="45" spans="1:16" x14ac:dyDescent="0.2">
      <c r="B45" s="10" t="s">
        <v>114</v>
      </c>
      <c r="C45" s="116"/>
      <c r="D45" s="116"/>
      <c r="E45" s="10"/>
      <c r="G45" s="10"/>
      <c r="H45" s="117"/>
      <c r="I45" s="114"/>
      <c r="J45" s="114">
        <f>4080.07-F43</f>
        <v>-75.459999999999582</v>
      </c>
    </row>
    <row r="46" spans="1:16" x14ac:dyDescent="0.2">
      <c r="B46" s="10" t="s">
        <v>115</v>
      </c>
      <c r="C46" s="116"/>
      <c r="D46" s="116"/>
      <c r="E46" s="10"/>
      <c r="F46" s="10"/>
      <c r="G46" s="10"/>
      <c r="H46" s="10"/>
      <c r="I46" s="10"/>
    </row>
    <row r="47" spans="1:16" x14ac:dyDescent="0.2">
      <c r="B47" s="10" t="s">
        <v>116</v>
      </c>
      <c r="C47" s="10"/>
      <c r="D47" s="10"/>
      <c r="E47" s="10"/>
      <c r="F47" s="118"/>
      <c r="H47" s="118"/>
      <c r="K47" s="119" t="s">
        <v>117</v>
      </c>
    </row>
    <row r="48" spans="1:16" x14ac:dyDescent="0.2">
      <c r="B48" s="118"/>
      <c r="C48" s="120"/>
      <c r="D48" s="120"/>
      <c r="E48" s="118"/>
      <c r="F48" s="118"/>
      <c r="G48" s="118"/>
      <c r="H48" s="118"/>
      <c r="I48" s="118"/>
    </row>
    <row r="49" spans="2:9" x14ac:dyDescent="0.2">
      <c r="B49" s="118"/>
      <c r="C49" s="120"/>
      <c r="D49" s="120"/>
      <c r="E49" s="118"/>
      <c r="F49" s="118"/>
      <c r="G49" s="118"/>
      <c r="H49" s="118"/>
      <c r="I49" s="118"/>
    </row>
    <row r="50" spans="2:9" x14ac:dyDescent="0.2">
      <c r="I50" s="8"/>
    </row>
    <row r="51" spans="2:9" hidden="1" x14ac:dyDescent="0.2">
      <c r="D51" t="s">
        <v>58</v>
      </c>
      <c r="E51" s="8">
        <f>H8+H10+H11+H36+H37</f>
        <v>1010.8399999999999</v>
      </c>
    </row>
    <row r="52" spans="2:9" hidden="1" x14ac:dyDescent="0.2">
      <c r="D52" t="s">
        <v>59</v>
      </c>
      <c r="E52" s="8">
        <f>H14+H15+H29</f>
        <v>597.09</v>
      </c>
    </row>
    <row r="53" spans="2:9" hidden="1" x14ac:dyDescent="0.2">
      <c r="D53" t="s">
        <v>60</v>
      </c>
      <c r="E53" s="8">
        <f>H20+H28</f>
        <v>570.79999999999995</v>
      </c>
    </row>
    <row r="54" spans="2:9" hidden="1" x14ac:dyDescent="0.2">
      <c r="D54" t="s">
        <v>61</v>
      </c>
      <c r="E54" s="8">
        <f>H16+H17+H18+H19+H35+H32</f>
        <v>938.56</v>
      </c>
    </row>
    <row r="55" spans="2:9" hidden="1" x14ac:dyDescent="0.2">
      <c r="D55" t="s">
        <v>62</v>
      </c>
      <c r="E55" s="8">
        <f>H43-E51-E52-E53-E54</f>
        <v>485.95099999999979</v>
      </c>
    </row>
    <row r="56" spans="2:9" hidden="1" x14ac:dyDescent="0.2">
      <c r="D56" t="s">
        <v>57</v>
      </c>
      <c r="E56" s="8">
        <f>SUM(E51:E55)</f>
        <v>3603.2409999999991</v>
      </c>
    </row>
  </sheetData>
  <mergeCells count="18">
    <mergeCell ref="C42:D42"/>
    <mergeCell ref="C43:D43"/>
    <mergeCell ref="L6:L7"/>
    <mergeCell ref="C26:D26"/>
    <mergeCell ref="C38:D38"/>
    <mergeCell ref="C39:D39"/>
    <mergeCell ref="C40:D40"/>
    <mergeCell ref="C41:D41"/>
    <mergeCell ref="J3:L3"/>
    <mergeCell ref="B4:L4"/>
    <mergeCell ref="K5:L5"/>
    <mergeCell ref="B6:B7"/>
    <mergeCell ref="C6:C7"/>
    <mergeCell ref="D6:D7"/>
    <mergeCell ref="E6:F6"/>
    <mergeCell ref="I6:I7"/>
    <mergeCell ref="J6:J7"/>
    <mergeCell ref="K6:K7"/>
  </mergeCells>
  <pageMargins left="0.5" right="0" top="0.94" bottom="0.1" header="0.511811023622047" footer="0.511811023622047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P72"/>
  <sheetViews>
    <sheetView topLeftCell="A19" zoomScaleNormal="100" workbookViewId="0">
      <selection activeCell="G55" sqref="G55"/>
    </sheetView>
  </sheetViews>
  <sheetFormatPr defaultRowHeight="12.75" x14ac:dyDescent="0.2"/>
  <cols>
    <col min="2" max="2" width="6.7109375" customWidth="1"/>
    <col min="3" max="3" width="12.140625" style="53" customWidth="1"/>
    <col min="4" max="4" width="25.85546875" style="53" customWidth="1"/>
    <col min="9" max="9" width="10.42578125" customWidth="1"/>
    <col min="10" max="10" width="10.140625" customWidth="1"/>
    <col min="17" max="17" width="11" bestFit="1" customWidth="1"/>
  </cols>
  <sheetData>
    <row r="3" spans="1:16" ht="13.5" thickBot="1" x14ac:dyDescent="0.25">
      <c r="I3" s="310" t="s">
        <v>118</v>
      </c>
      <c r="J3" s="310"/>
      <c r="K3" s="310"/>
      <c r="L3" s="310"/>
    </row>
    <row r="4" spans="1:16" ht="22.5" customHeight="1" thickBot="1" x14ac:dyDescent="0.25">
      <c r="B4" s="340" t="s">
        <v>119</v>
      </c>
      <c r="C4" s="341"/>
      <c r="D4" s="341"/>
      <c r="E4" s="341"/>
      <c r="F4" s="341"/>
      <c r="G4" s="341"/>
      <c r="H4" s="341"/>
      <c r="I4" s="341"/>
      <c r="J4" s="341"/>
      <c r="K4" s="341"/>
      <c r="L4" s="342"/>
    </row>
    <row r="5" spans="1:16" ht="13.5" thickBot="1" x14ac:dyDescent="0.25">
      <c r="B5" s="121"/>
      <c r="C5" s="46"/>
      <c r="D5" s="46"/>
      <c r="E5" s="76"/>
      <c r="F5" s="76"/>
      <c r="G5" s="76"/>
      <c r="H5" s="76"/>
      <c r="I5" s="76"/>
      <c r="J5" s="79"/>
      <c r="K5" s="79"/>
      <c r="L5" s="122"/>
    </row>
    <row r="6" spans="1:16" ht="13.5" customHeight="1" x14ac:dyDescent="0.2">
      <c r="B6" s="316" t="s">
        <v>1</v>
      </c>
      <c r="C6" s="318" t="s">
        <v>2</v>
      </c>
      <c r="D6" s="318" t="s">
        <v>3</v>
      </c>
      <c r="E6" s="343" t="s">
        <v>120</v>
      </c>
      <c r="F6" s="343"/>
      <c r="G6" s="343" t="s">
        <v>0</v>
      </c>
      <c r="H6" s="343"/>
      <c r="I6" s="344" t="s">
        <v>69</v>
      </c>
      <c r="J6" s="346" t="s">
        <v>121</v>
      </c>
      <c r="K6" s="326" t="s">
        <v>122</v>
      </c>
      <c r="L6" s="305" t="s">
        <v>123</v>
      </c>
    </row>
    <row r="7" spans="1:16" ht="53.25" customHeight="1" thickBot="1" x14ac:dyDescent="0.25">
      <c r="B7" s="317"/>
      <c r="C7" s="319"/>
      <c r="D7" s="319"/>
      <c r="E7" s="123" t="s">
        <v>4</v>
      </c>
      <c r="F7" s="123" t="s">
        <v>5</v>
      </c>
      <c r="G7" s="123" t="s">
        <v>4</v>
      </c>
      <c r="H7" s="123" t="s">
        <v>5</v>
      </c>
      <c r="I7" s="345"/>
      <c r="J7" s="347"/>
      <c r="K7" s="327"/>
      <c r="L7" s="306"/>
    </row>
    <row r="8" spans="1:16" ht="35.25" customHeight="1" x14ac:dyDescent="0.2">
      <c r="A8" s="124"/>
      <c r="B8" s="349">
        <v>1</v>
      </c>
      <c r="C8" s="351" t="s">
        <v>6</v>
      </c>
      <c r="D8" s="15" t="s">
        <v>79</v>
      </c>
      <c r="E8" s="16">
        <v>142.57</v>
      </c>
      <c r="F8" s="125">
        <v>102.98</v>
      </c>
      <c r="G8" s="16">
        <v>97.45</v>
      </c>
      <c r="H8" s="126">
        <v>67.53</v>
      </c>
      <c r="I8" s="16">
        <f>H8/G8*10</f>
        <v>6.9297075423293997</v>
      </c>
      <c r="J8" s="16">
        <v>-0.02</v>
      </c>
      <c r="K8" s="37">
        <v>-2.94</v>
      </c>
      <c r="L8" s="30"/>
      <c r="P8" s="127"/>
    </row>
    <row r="9" spans="1:16" ht="35.25" customHeight="1" x14ac:dyDescent="0.2">
      <c r="A9" s="124"/>
      <c r="B9" s="350"/>
      <c r="C9" s="352"/>
      <c r="D9" s="15" t="s">
        <v>80</v>
      </c>
      <c r="E9" s="16"/>
      <c r="F9" s="125"/>
      <c r="G9" s="16">
        <v>14.28</v>
      </c>
      <c r="H9" s="126">
        <v>7.18</v>
      </c>
      <c r="I9" s="16">
        <f>H9/G9*10</f>
        <v>5.0280112044817926</v>
      </c>
      <c r="J9" s="16"/>
      <c r="K9" s="37"/>
      <c r="L9" s="30"/>
      <c r="P9" s="127"/>
    </row>
    <row r="10" spans="1:16" ht="37.9" customHeight="1" x14ac:dyDescent="0.3">
      <c r="A10" s="128"/>
      <c r="B10" s="71">
        <v>2</v>
      </c>
      <c r="C10" s="4" t="s">
        <v>7</v>
      </c>
      <c r="D10" s="4" t="s">
        <v>88</v>
      </c>
      <c r="E10" s="17">
        <v>705.07</v>
      </c>
      <c r="F10" s="129">
        <v>491.63</v>
      </c>
      <c r="G10" s="17">
        <v>682.32</v>
      </c>
      <c r="H10" s="24">
        <v>452.01</v>
      </c>
      <c r="I10" s="17">
        <f t="shared" ref="I10:I41" si="0">H10/G10*10</f>
        <v>6.6246042912416456</v>
      </c>
      <c r="J10" s="78">
        <v>-4.43</v>
      </c>
      <c r="K10" s="36">
        <v>-7.22</v>
      </c>
      <c r="L10" s="26"/>
    </row>
    <row r="11" spans="1:16" ht="22.5" x14ac:dyDescent="0.3">
      <c r="A11" s="128"/>
      <c r="B11" s="71">
        <v>3</v>
      </c>
      <c r="C11" s="4" t="s">
        <v>8</v>
      </c>
      <c r="D11" s="4" t="s">
        <v>89</v>
      </c>
      <c r="E11" s="17">
        <v>381.53</v>
      </c>
      <c r="F11" s="129">
        <v>240.15</v>
      </c>
      <c r="G11" s="17">
        <v>369.34</v>
      </c>
      <c r="H11" s="24">
        <v>224.02</v>
      </c>
      <c r="I11" s="17">
        <f t="shared" si="0"/>
        <v>6.0654139816970822</v>
      </c>
      <c r="J11" s="78">
        <v>-12.5</v>
      </c>
      <c r="K11" s="36">
        <v>-15.05</v>
      </c>
      <c r="L11" s="26"/>
    </row>
    <row r="12" spans="1:16" ht="36" customHeight="1" x14ac:dyDescent="0.3">
      <c r="A12" s="128"/>
      <c r="B12" s="71">
        <v>4</v>
      </c>
      <c r="C12" s="4" t="s">
        <v>10</v>
      </c>
      <c r="D12" s="4" t="s">
        <v>90</v>
      </c>
      <c r="E12" s="17">
        <v>7.16</v>
      </c>
      <c r="F12" s="129">
        <v>7.08</v>
      </c>
      <c r="G12" s="17">
        <v>7.34</v>
      </c>
      <c r="H12" s="130">
        <v>6.23</v>
      </c>
      <c r="I12" s="17">
        <f t="shared" si="0"/>
        <v>8.4877384196185286</v>
      </c>
      <c r="J12" s="17">
        <v>22.4</v>
      </c>
      <c r="K12" s="36">
        <v>18.829999999999998</v>
      </c>
      <c r="L12" s="26"/>
    </row>
    <row r="13" spans="1:16" ht="36.75" customHeight="1" x14ac:dyDescent="0.3">
      <c r="A13" s="128"/>
      <c r="B13" s="71">
        <v>5</v>
      </c>
      <c r="C13" s="4" t="s">
        <v>11</v>
      </c>
      <c r="D13" s="4" t="s">
        <v>91</v>
      </c>
      <c r="E13" s="17">
        <v>3.98</v>
      </c>
      <c r="F13" s="129">
        <v>3.49</v>
      </c>
      <c r="G13" s="17">
        <v>3.69</v>
      </c>
      <c r="H13" s="24">
        <v>2.8</v>
      </c>
      <c r="I13" s="17">
        <f t="shared" si="0"/>
        <v>7.5880758807588062</v>
      </c>
      <c r="J13" s="17">
        <v>9.42</v>
      </c>
      <c r="K13" s="36">
        <v>6.23</v>
      </c>
      <c r="L13" s="26"/>
    </row>
    <row r="14" spans="1:16" ht="35.25" customHeight="1" x14ac:dyDescent="0.3">
      <c r="A14" s="128"/>
      <c r="B14" s="71">
        <v>6</v>
      </c>
      <c r="C14" s="4" t="s">
        <v>13</v>
      </c>
      <c r="D14" s="4" t="s">
        <v>92</v>
      </c>
      <c r="E14" s="17">
        <v>229.37</v>
      </c>
      <c r="F14" s="129">
        <v>248.56</v>
      </c>
      <c r="G14" s="17">
        <v>236.34</v>
      </c>
      <c r="H14" s="130">
        <v>232.23</v>
      </c>
      <c r="I14" s="17">
        <f t="shared" si="0"/>
        <v>9.826097994414825</v>
      </c>
      <c r="J14" s="78">
        <v>41.76</v>
      </c>
      <c r="K14" s="36">
        <v>37.619999999999997</v>
      </c>
      <c r="L14" s="26"/>
    </row>
    <row r="15" spans="1:16" ht="22.5" x14ac:dyDescent="0.3">
      <c r="A15" s="128"/>
      <c r="B15" s="71">
        <v>7</v>
      </c>
      <c r="C15" s="4" t="s">
        <v>14</v>
      </c>
      <c r="D15" s="4" t="s">
        <v>93</v>
      </c>
      <c r="E15" s="17">
        <v>92.58</v>
      </c>
      <c r="F15" s="129">
        <v>93.44</v>
      </c>
      <c r="G15" s="17">
        <v>86.4</v>
      </c>
      <c r="H15" s="130">
        <v>79.22</v>
      </c>
      <c r="I15" s="17">
        <f t="shared" si="0"/>
        <v>9.168981481481481</v>
      </c>
      <c r="J15" s="78">
        <v>32.28</v>
      </c>
      <c r="K15" s="36">
        <v>28.42</v>
      </c>
      <c r="L15" s="26"/>
    </row>
    <row r="16" spans="1:16" ht="14.25" customHeight="1" x14ac:dyDescent="0.3">
      <c r="A16" s="128"/>
      <c r="B16" s="71">
        <v>8</v>
      </c>
      <c r="C16" s="4" t="s">
        <v>94</v>
      </c>
      <c r="D16" s="4" t="s">
        <v>40</v>
      </c>
      <c r="E16" s="17">
        <v>2528.81</v>
      </c>
      <c r="F16" s="129">
        <v>1615.26</v>
      </c>
      <c r="G16" s="17">
        <v>2528.81</v>
      </c>
      <c r="H16" s="130">
        <v>1446.48</v>
      </c>
      <c r="I16" s="17">
        <f t="shared" si="0"/>
        <v>5.7200026890118281</v>
      </c>
      <c r="J16" s="17">
        <v>-17.48</v>
      </c>
      <c r="K16" s="36">
        <v>-19.89</v>
      </c>
      <c r="L16" s="26"/>
    </row>
    <row r="17" spans="1:12" ht="13.5" customHeight="1" x14ac:dyDescent="0.3">
      <c r="A17" s="128"/>
      <c r="B17" s="71">
        <v>9</v>
      </c>
      <c r="C17" s="4" t="s">
        <v>17</v>
      </c>
      <c r="D17" s="4" t="s">
        <v>18</v>
      </c>
      <c r="E17" s="17">
        <v>0.69</v>
      </c>
      <c r="F17" s="129">
        <v>0.59</v>
      </c>
      <c r="G17" s="17">
        <v>0.77</v>
      </c>
      <c r="H17" s="78">
        <v>0.56999999999999995</v>
      </c>
      <c r="I17" s="17">
        <f t="shared" si="0"/>
        <v>7.4025974025974017</v>
      </c>
      <c r="J17" s="17">
        <v>6</v>
      </c>
      <c r="K17" s="36">
        <v>2.91</v>
      </c>
      <c r="L17" s="26"/>
    </row>
    <row r="18" spans="1:12" ht="33.75" x14ac:dyDescent="0.3">
      <c r="A18" s="128"/>
      <c r="B18" s="71">
        <v>10</v>
      </c>
      <c r="C18" s="4" t="s">
        <v>54</v>
      </c>
      <c r="D18" s="4" t="s">
        <v>95</v>
      </c>
      <c r="E18" s="17">
        <v>12.94</v>
      </c>
      <c r="F18" s="129">
        <v>7.84</v>
      </c>
      <c r="G18" s="17">
        <v>16.72</v>
      </c>
      <c r="H18" s="24">
        <v>9.9</v>
      </c>
      <c r="I18" s="17">
        <f t="shared" si="0"/>
        <v>5.9210526315789478</v>
      </c>
      <c r="J18" s="17">
        <v>-14.55</v>
      </c>
      <c r="K18" s="36">
        <v>-17.04</v>
      </c>
      <c r="L18" s="26"/>
    </row>
    <row r="19" spans="1:12" ht="33.75" x14ac:dyDescent="0.3">
      <c r="A19" s="128"/>
      <c r="B19" s="71">
        <v>11</v>
      </c>
      <c r="C19" s="4" t="s">
        <v>55</v>
      </c>
      <c r="D19" s="4" t="s">
        <v>96</v>
      </c>
      <c r="E19" s="17">
        <v>6.66</v>
      </c>
      <c r="F19" s="129">
        <v>6.29</v>
      </c>
      <c r="G19" s="17">
        <v>8.6</v>
      </c>
      <c r="H19" s="24">
        <v>7.15</v>
      </c>
      <c r="I19" s="17">
        <f t="shared" si="0"/>
        <v>8.3139534883720927</v>
      </c>
      <c r="J19" s="78">
        <v>19.91</v>
      </c>
      <c r="K19" s="36">
        <v>16.41</v>
      </c>
      <c r="L19" s="26"/>
    </row>
    <row r="20" spans="1:12" ht="14.25" x14ac:dyDescent="0.3">
      <c r="A20" s="128"/>
      <c r="B20" s="71">
        <v>12</v>
      </c>
      <c r="C20" s="4" t="s">
        <v>19</v>
      </c>
      <c r="D20" s="4" t="s">
        <v>98</v>
      </c>
      <c r="E20" s="17">
        <v>50.03</v>
      </c>
      <c r="F20" s="129">
        <v>47.29</v>
      </c>
      <c r="G20" s="17">
        <v>50.79</v>
      </c>
      <c r="H20" s="130">
        <v>43.01</v>
      </c>
      <c r="I20" s="17">
        <f t="shared" si="0"/>
        <v>8.4682024020476465</v>
      </c>
      <c r="J20" s="78">
        <v>22.16</v>
      </c>
      <c r="K20" s="36">
        <v>18.600000000000001</v>
      </c>
      <c r="L20" s="26"/>
    </row>
    <row r="21" spans="1:12" ht="14.25" x14ac:dyDescent="0.3">
      <c r="A21" s="128"/>
      <c r="B21" s="71">
        <v>13</v>
      </c>
      <c r="C21" s="4" t="s">
        <v>20</v>
      </c>
      <c r="D21" s="4" t="s">
        <v>98</v>
      </c>
      <c r="E21" s="17">
        <v>97.05</v>
      </c>
      <c r="F21" s="129">
        <v>89.8</v>
      </c>
      <c r="G21" s="17">
        <v>96.29</v>
      </c>
      <c r="H21" s="130">
        <v>83.6</v>
      </c>
      <c r="I21" s="17">
        <f t="shared" si="0"/>
        <v>8.6821061377090025</v>
      </c>
      <c r="J21" s="17">
        <v>25.25</v>
      </c>
      <c r="K21" s="36">
        <v>21.59</v>
      </c>
      <c r="L21" s="26"/>
    </row>
    <row r="22" spans="1:12" ht="15" customHeight="1" x14ac:dyDescent="0.3">
      <c r="A22" s="128"/>
      <c r="B22" s="71">
        <v>14</v>
      </c>
      <c r="C22" s="4" t="s">
        <v>124</v>
      </c>
      <c r="D22" s="4" t="s">
        <v>22</v>
      </c>
      <c r="E22" s="17">
        <v>317.75</v>
      </c>
      <c r="F22" s="129">
        <v>205.73</v>
      </c>
      <c r="G22" s="17">
        <v>292.79000000000002</v>
      </c>
      <c r="H22" s="24">
        <v>169.64</v>
      </c>
      <c r="I22" s="17">
        <f t="shared" si="0"/>
        <v>5.7939137265616996</v>
      </c>
      <c r="J22" s="78">
        <v>-16.41</v>
      </c>
      <c r="K22" s="36">
        <v>-18.850000000000001</v>
      </c>
      <c r="L22" s="26"/>
    </row>
    <row r="23" spans="1:12" ht="14.25" x14ac:dyDescent="0.3">
      <c r="A23" s="128"/>
      <c r="B23" s="71">
        <v>15</v>
      </c>
      <c r="C23" s="4" t="s">
        <v>125</v>
      </c>
      <c r="D23" s="4" t="s">
        <v>23</v>
      </c>
      <c r="E23" s="17">
        <v>128.09</v>
      </c>
      <c r="F23" s="129">
        <v>111.74</v>
      </c>
      <c r="G23" s="17">
        <v>125.61</v>
      </c>
      <c r="H23" s="24">
        <v>100.41</v>
      </c>
      <c r="I23" s="17">
        <f t="shared" si="0"/>
        <v>7.9937903033197983</v>
      </c>
      <c r="J23" s="17">
        <v>15.32</v>
      </c>
      <c r="K23" s="36">
        <v>11.95</v>
      </c>
      <c r="L23" s="26"/>
    </row>
    <row r="24" spans="1:12" ht="14.25" x14ac:dyDescent="0.3">
      <c r="A24" s="131"/>
      <c r="B24" s="132">
        <v>16</v>
      </c>
      <c r="C24" s="4" t="s">
        <v>77</v>
      </c>
      <c r="D24" s="4" t="s">
        <v>24</v>
      </c>
      <c r="E24" s="17">
        <v>19.37</v>
      </c>
      <c r="F24" s="129">
        <v>39.39</v>
      </c>
      <c r="G24" s="17">
        <v>19.37</v>
      </c>
      <c r="H24" s="130">
        <v>29.67</v>
      </c>
      <c r="I24" s="17">
        <f t="shared" si="0"/>
        <v>15.317501290655652</v>
      </c>
      <c r="J24" s="17">
        <v>120.96</v>
      </c>
      <c r="K24" s="36">
        <v>114.52</v>
      </c>
      <c r="L24" s="36"/>
    </row>
    <row r="25" spans="1:12" ht="22.5" x14ac:dyDescent="0.3">
      <c r="A25" s="46"/>
      <c r="B25" s="132">
        <v>17</v>
      </c>
      <c r="C25" s="4" t="s">
        <v>78</v>
      </c>
      <c r="D25" s="4" t="s">
        <v>76</v>
      </c>
      <c r="E25" s="17">
        <v>0.13</v>
      </c>
      <c r="F25" s="133">
        <v>0.17</v>
      </c>
      <c r="G25" s="17">
        <v>0.13</v>
      </c>
      <c r="H25" s="24">
        <v>0.19</v>
      </c>
      <c r="I25" s="17">
        <f t="shared" si="0"/>
        <v>14.615384615384615</v>
      </c>
      <c r="J25" s="17">
        <v>108.34</v>
      </c>
      <c r="K25" s="36">
        <v>102.26</v>
      </c>
      <c r="L25" s="36"/>
    </row>
    <row r="26" spans="1:12" ht="14.25" thickBot="1" x14ac:dyDescent="0.3">
      <c r="B26" s="80"/>
      <c r="C26" s="353" t="s">
        <v>25</v>
      </c>
      <c r="D26" s="353"/>
      <c r="E26" s="134">
        <f>SUM(E8:E25)+0.02</f>
        <v>4723.8</v>
      </c>
      <c r="F26" s="134">
        <f>SUM(F8:F25)+0.01</f>
        <v>3311.4400000000005</v>
      </c>
      <c r="G26" s="134">
        <f>SUM(G8:G25)</f>
        <v>4637.04</v>
      </c>
      <c r="H26" s="134">
        <f>SUM(H8:H25)</f>
        <v>2961.84</v>
      </c>
      <c r="I26" s="134">
        <f t="shared" si="0"/>
        <v>6.3873505512137054</v>
      </c>
      <c r="J26" s="134">
        <v>-7.85</v>
      </c>
      <c r="K26" s="81">
        <v>-10.54</v>
      </c>
      <c r="L26" s="135"/>
    </row>
    <row r="27" spans="1:12" ht="12.75" customHeight="1" x14ac:dyDescent="0.3">
      <c r="B27" s="75">
        <v>1</v>
      </c>
      <c r="C27" s="6" t="s">
        <v>26</v>
      </c>
      <c r="D27" s="6" t="s">
        <v>27</v>
      </c>
      <c r="E27" s="16">
        <v>446.21</v>
      </c>
      <c r="F27" s="136">
        <v>285.67</v>
      </c>
      <c r="G27" s="16">
        <v>446.21</v>
      </c>
      <c r="H27" s="137">
        <v>253.23</v>
      </c>
      <c r="I27" s="16">
        <f t="shared" si="0"/>
        <v>5.6751305439143005</v>
      </c>
      <c r="J27" s="125">
        <v>-18.13</v>
      </c>
      <c r="K27" s="37">
        <v>-12.42</v>
      </c>
      <c r="L27" s="30">
        <v>-8.17</v>
      </c>
    </row>
    <row r="28" spans="1:12" ht="14.25" x14ac:dyDescent="0.3">
      <c r="B28" s="71">
        <v>2</v>
      </c>
      <c r="C28" s="4" t="s">
        <v>101</v>
      </c>
      <c r="D28" s="4" t="s">
        <v>102</v>
      </c>
      <c r="E28" s="17">
        <v>875.34</v>
      </c>
      <c r="F28" s="129">
        <v>791.68</v>
      </c>
      <c r="G28" s="17">
        <v>875.34</v>
      </c>
      <c r="H28" s="24">
        <v>727.15</v>
      </c>
      <c r="I28" s="17">
        <f t="shared" si="0"/>
        <v>8.3070578289578894</v>
      </c>
      <c r="J28" s="17">
        <v>19.84</v>
      </c>
      <c r="K28" s="36">
        <v>28.2</v>
      </c>
      <c r="L28" s="26">
        <v>34.42</v>
      </c>
    </row>
    <row r="29" spans="1:12" ht="14.25" x14ac:dyDescent="0.3">
      <c r="B29" s="71">
        <v>3</v>
      </c>
      <c r="C29" s="4" t="s">
        <v>103</v>
      </c>
      <c r="D29" s="4" t="s">
        <v>104</v>
      </c>
      <c r="E29" s="17">
        <v>140.5</v>
      </c>
      <c r="F29" s="129">
        <v>157.01</v>
      </c>
      <c r="G29" s="17">
        <v>136.85</v>
      </c>
      <c r="H29" s="24">
        <v>142.22</v>
      </c>
      <c r="I29" s="17">
        <f t="shared" si="0"/>
        <v>10.392400438436244</v>
      </c>
      <c r="J29" s="78">
        <v>49.93</v>
      </c>
      <c r="K29" s="36">
        <v>60.38</v>
      </c>
      <c r="L29" s="26">
        <v>68.16</v>
      </c>
    </row>
    <row r="30" spans="1:12" ht="26.25" customHeight="1" x14ac:dyDescent="0.3">
      <c r="B30" s="71">
        <v>4</v>
      </c>
      <c r="C30" s="84" t="s">
        <v>126</v>
      </c>
      <c r="D30" s="13" t="s">
        <v>67</v>
      </c>
      <c r="E30" s="17">
        <v>40.64</v>
      </c>
      <c r="F30" s="129">
        <v>37.35</v>
      </c>
      <c r="G30" s="17">
        <v>38.229999999999997</v>
      </c>
      <c r="H30" s="130">
        <v>32.479999999999997</v>
      </c>
      <c r="I30" s="17">
        <f t="shared" si="0"/>
        <v>8.4959455924666489</v>
      </c>
      <c r="J30" s="78">
        <v>22.55</v>
      </c>
      <c r="K30" s="36">
        <v>31.1</v>
      </c>
      <c r="L30" s="26">
        <v>37.46</v>
      </c>
    </row>
    <row r="31" spans="1:12" ht="33.75" x14ac:dyDescent="0.3">
      <c r="B31" s="71">
        <v>5</v>
      </c>
      <c r="C31" s="84" t="s">
        <v>127</v>
      </c>
      <c r="D31" s="13" t="s">
        <v>68</v>
      </c>
      <c r="E31" s="17">
        <v>22.31</v>
      </c>
      <c r="F31" s="129">
        <v>22.55</v>
      </c>
      <c r="G31" s="17">
        <v>20.99</v>
      </c>
      <c r="H31" s="130">
        <v>19.010000000000002</v>
      </c>
      <c r="I31" s="17">
        <f t="shared" si="0"/>
        <v>9.0566936636493587</v>
      </c>
      <c r="J31" s="78">
        <v>30.68</v>
      </c>
      <c r="K31" s="36">
        <v>39.79</v>
      </c>
      <c r="L31" s="26">
        <v>46.57</v>
      </c>
    </row>
    <row r="32" spans="1:12" ht="33.75" customHeight="1" x14ac:dyDescent="0.3">
      <c r="B32" s="71">
        <v>6</v>
      </c>
      <c r="C32" s="4" t="s">
        <v>30</v>
      </c>
      <c r="D32" s="4" t="s">
        <v>107</v>
      </c>
      <c r="E32" s="17">
        <v>74.06</v>
      </c>
      <c r="F32" s="129">
        <v>36.299999999999997</v>
      </c>
      <c r="G32" s="17">
        <v>102.39</v>
      </c>
      <c r="H32" s="24">
        <v>28.16</v>
      </c>
      <c r="I32" s="17">
        <f t="shared" si="0"/>
        <v>2.7502685809161047</v>
      </c>
      <c r="J32" s="17">
        <v>-60.33</v>
      </c>
      <c r="K32" s="36">
        <v>-57.56</v>
      </c>
      <c r="L32" s="26">
        <v>-55.5</v>
      </c>
    </row>
    <row r="33" spans="2:12" ht="36" customHeight="1" x14ac:dyDescent="0.3">
      <c r="B33" s="71">
        <v>7</v>
      </c>
      <c r="C33" s="4" t="s">
        <v>31</v>
      </c>
      <c r="D33" s="4" t="s">
        <v>108</v>
      </c>
      <c r="E33" s="17">
        <v>0</v>
      </c>
      <c r="F33" s="133">
        <v>0</v>
      </c>
      <c r="G33" s="17">
        <v>0</v>
      </c>
      <c r="H33" s="24">
        <v>0</v>
      </c>
      <c r="I33" s="17">
        <v>0</v>
      </c>
      <c r="J33" s="17">
        <v>0</v>
      </c>
      <c r="K33" s="17">
        <v>0</v>
      </c>
      <c r="L33" s="17">
        <v>0</v>
      </c>
    </row>
    <row r="34" spans="2:12" ht="22.5" x14ac:dyDescent="0.3">
      <c r="B34" s="71">
        <v>8</v>
      </c>
      <c r="C34" s="4" t="s">
        <v>37</v>
      </c>
      <c r="D34" s="4" t="s">
        <v>109</v>
      </c>
      <c r="E34" s="17">
        <v>0</v>
      </c>
      <c r="F34" s="133">
        <v>0</v>
      </c>
      <c r="G34" s="17">
        <v>0</v>
      </c>
      <c r="H34" s="24">
        <v>0</v>
      </c>
      <c r="I34" s="17">
        <v>0</v>
      </c>
      <c r="J34" s="17">
        <v>0</v>
      </c>
      <c r="K34" s="17">
        <v>0</v>
      </c>
      <c r="L34" s="17">
        <v>0</v>
      </c>
    </row>
    <row r="35" spans="2:12" ht="47.45" customHeight="1" x14ac:dyDescent="0.3">
      <c r="B35" s="71">
        <v>9</v>
      </c>
      <c r="C35" s="4" t="s">
        <v>32</v>
      </c>
      <c r="D35" s="13" t="s">
        <v>56</v>
      </c>
      <c r="E35" s="17">
        <v>0.25</v>
      </c>
      <c r="F35" s="129">
        <v>0.19</v>
      </c>
      <c r="G35" s="17">
        <v>0.51</v>
      </c>
      <c r="H35" s="24">
        <v>0.24</v>
      </c>
      <c r="I35" s="17">
        <f t="shared" si="0"/>
        <v>4.7058823529411766</v>
      </c>
      <c r="J35" s="78">
        <v>-31.47</v>
      </c>
      <c r="K35" s="36">
        <v>-26.7</v>
      </c>
      <c r="L35" s="26">
        <v>-23.14</v>
      </c>
    </row>
    <row r="36" spans="2:12" ht="14.25" x14ac:dyDescent="0.3">
      <c r="B36" s="71">
        <v>10</v>
      </c>
      <c r="C36" s="4" t="s">
        <v>110</v>
      </c>
      <c r="D36" s="13" t="s">
        <v>111</v>
      </c>
      <c r="E36" s="17">
        <v>4.32</v>
      </c>
      <c r="F36" s="129">
        <v>3.41</v>
      </c>
      <c r="G36" s="17">
        <v>4.2300000000000004</v>
      </c>
      <c r="H36" s="130">
        <v>3.24</v>
      </c>
      <c r="I36" s="17">
        <f t="shared" si="0"/>
        <v>7.6595744680851059</v>
      </c>
      <c r="J36" s="17">
        <v>10.35</v>
      </c>
      <c r="K36" s="36">
        <v>18.04</v>
      </c>
      <c r="L36" s="26">
        <v>23.77</v>
      </c>
    </row>
    <row r="37" spans="2:12" ht="15" thickBot="1" x14ac:dyDescent="0.35">
      <c r="B37" s="138">
        <f>B36+1</f>
        <v>11</v>
      </c>
      <c r="C37" s="5" t="s">
        <v>63</v>
      </c>
      <c r="D37" s="86" t="s">
        <v>24</v>
      </c>
      <c r="E37" s="49">
        <v>2.8</v>
      </c>
      <c r="F37" s="49">
        <v>4.8099999999999996</v>
      </c>
      <c r="G37" s="49">
        <v>2.8</v>
      </c>
      <c r="H37" s="50">
        <v>5.6</v>
      </c>
      <c r="I37" s="49">
        <f t="shared" si="0"/>
        <v>20</v>
      </c>
      <c r="J37" s="49"/>
      <c r="K37" s="51"/>
      <c r="L37" s="39"/>
    </row>
    <row r="38" spans="2:12" ht="13.5" thickBot="1" x14ac:dyDescent="0.25">
      <c r="B38" s="139"/>
      <c r="C38" s="336" t="s">
        <v>34</v>
      </c>
      <c r="D38" s="336"/>
      <c r="E38" s="21">
        <f>SUM(E27:E37)</f>
        <v>1606.4299999999998</v>
      </c>
      <c r="F38" s="21">
        <f>SUM(F27:F37)-0.01</f>
        <v>1338.9599999999998</v>
      </c>
      <c r="G38" s="21">
        <f>SUM(G27:G37)</f>
        <v>1627.55</v>
      </c>
      <c r="H38" s="21">
        <f>SUM(H27:H37)</f>
        <v>1211.33</v>
      </c>
      <c r="I38" s="21">
        <f t="shared" si="0"/>
        <v>7.4426592116985644</v>
      </c>
      <c r="J38" s="21">
        <v>7.37</v>
      </c>
      <c r="K38" s="41">
        <v>14.86</v>
      </c>
      <c r="L38" s="42">
        <v>20.43</v>
      </c>
    </row>
    <row r="39" spans="2:12" ht="13.5" thickBot="1" x14ac:dyDescent="0.25">
      <c r="B39" s="139"/>
      <c r="C39" s="336" t="s">
        <v>35</v>
      </c>
      <c r="D39" s="336"/>
      <c r="E39" s="21">
        <f>E38+E26</f>
        <v>6330.23</v>
      </c>
      <c r="F39" s="21">
        <f>F38+F26</f>
        <v>4650.4000000000005</v>
      </c>
      <c r="G39" s="21">
        <f>G38+G26</f>
        <v>6264.59</v>
      </c>
      <c r="H39" s="21">
        <f>H38+H26</f>
        <v>4173.17</v>
      </c>
      <c r="I39" s="21">
        <f t="shared" si="0"/>
        <v>6.6615213445732282</v>
      </c>
      <c r="J39" s="21">
        <v>-3.9</v>
      </c>
      <c r="K39" s="41">
        <v>2.8</v>
      </c>
      <c r="L39" s="141">
        <v>7.79</v>
      </c>
    </row>
    <row r="40" spans="2:12" ht="13.5" thickBot="1" x14ac:dyDescent="0.25">
      <c r="B40" s="94"/>
      <c r="C40" s="348" t="s">
        <v>39</v>
      </c>
      <c r="D40" s="348"/>
      <c r="E40" s="142"/>
      <c r="F40" s="143">
        <v>178.37</v>
      </c>
      <c r="G40" s="144"/>
      <c r="H40" s="145">
        <v>169.27</v>
      </c>
      <c r="I40" s="142"/>
      <c r="J40" s="144"/>
      <c r="K40" s="146"/>
      <c r="L40" s="147"/>
    </row>
    <row r="41" spans="2:12" ht="13.5" thickBot="1" x14ac:dyDescent="0.25">
      <c r="B41" s="139"/>
      <c r="C41" s="336" t="s">
        <v>36</v>
      </c>
      <c r="D41" s="336"/>
      <c r="E41" s="21">
        <f>E40+E39</f>
        <v>6330.23</v>
      </c>
      <c r="F41" s="21">
        <f>F40+F39</f>
        <v>4828.7700000000004</v>
      </c>
      <c r="G41" s="21">
        <f>G40+G39</f>
        <v>6264.59</v>
      </c>
      <c r="H41" s="21">
        <f>H39+H40</f>
        <v>4342.4400000000005</v>
      </c>
      <c r="I41" s="21">
        <f t="shared" si="0"/>
        <v>6.9317225867933905</v>
      </c>
      <c r="J41" s="21"/>
      <c r="K41" s="140"/>
      <c r="L41" s="141"/>
    </row>
    <row r="42" spans="2:12" x14ac:dyDescent="0.2">
      <c r="B42" s="9"/>
      <c r="C42" s="113"/>
      <c r="D42" s="113"/>
      <c r="E42" s="9"/>
      <c r="F42" s="14"/>
      <c r="G42" s="9"/>
      <c r="H42" s="9"/>
      <c r="I42" s="9"/>
    </row>
    <row r="43" spans="2:12" x14ac:dyDescent="0.2">
      <c r="B43" s="10" t="s">
        <v>128</v>
      </c>
      <c r="C43" s="116"/>
      <c r="D43" s="116"/>
      <c r="E43" s="10"/>
      <c r="F43" s="10"/>
      <c r="G43" s="10"/>
      <c r="H43" s="10"/>
      <c r="I43" s="10"/>
    </row>
    <row r="44" spans="2:12" x14ac:dyDescent="0.2">
      <c r="B44" s="10" t="s">
        <v>148</v>
      </c>
      <c r="C44" s="116"/>
      <c r="D44" s="116"/>
      <c r="E44" s="10"/>
      <c r="F44" s="10"/>
      <c r="G44" s="10"/>
      <c r="I44" s="10"/>
    </row>
    <row r="45" spans="2:12" ht="13.5" x14ac:dyDescent="0.25">
      <c r="B45" s="10" t="s">
        <v>147</v>
      </c>
      <c r="C45" s="10"/>
      <c r="D45" s="10"/>
      <c r="E45" s="10"/>
      <c r="F45" s="118"/>
      <c r="G45" s="148"/>
      <c r="H45" s="118"/>
      <c r="K45" s="149" t="s">
        <v>129</v>
      </c>
    </row>
    <row r="46" spans="2:12" x14ac:dyDescent="0.2">
      <c r="B46" s="118"/>
      <c r="C46" s="120"/>
      <c r="D46" s="120"/>
      <c r="E46" s="118"/>
      <c r="F46" s="118"/>
      <c r="G46" s="118"/>
      <c r="H46" s="118"/>
      <c r="I46" s="150"/>
    </row>
    <row r="47" spans="2:12" x14ac:dyDescent="0.2">
      <c r="B47" s="118"/>
      <c r="C47" s="120"/>
      <c r="D47" s="120"/>
      <c r="E47" s="118"/>
      <c r="F47" s="118"/>
      <c r="G47" s="118"/>
      <c r="H47" s="118"/>
      <c r="I47" s="150"/>
    </row>
    <row r="48" spans="2:12" x14ac:dyDescent="0.2">
      <c r="B48" s="127"/>
      <c r="C48" s="151"/>
      <c r="D48" s="151"/>
      <c r="E48" s="127"/>
      <c r="F48" s="127"/>
      <c r="G48" s="127"/>
      <c r="H48" s="127"/>
    </row>
    <row r="49" spans="4:5" hidden="1" x14ac:dyDescent="0.2">
      <c r="D49" t="s">
        <v>58</v>
      </c>
      <c r="E49" s="8">
        <f>H8+H10+H11+H36+H37</f>
        <v>752.4</v>
      </c>
    </row>
    <row r="50" spans="4:5" hidden="1" x14ac:dyDescent="0.2">
      <c r="D50" t="s">
        <v>59</v>
      </c>
      <c r="E50" s="8">
        <f>H14+H15+H29</f>
        <v>453.66999999999996</v>
      </c>
    </row>
    <row r="51" spans="4:5" hidden="1" x14ac:dyDescent="0.2">
      <c r="D51" t="s">
        <v>60</v>
      </c>
      <c r="E51" s="8">
        <f>H20+H28</f>
        <v>770.16</v>
      </c>
    </row>
    <row r="52" spans="4:5" hidden="1" x14ac:dyDescent="0.2">
      <c r="D52" t="s">
        <v>61</v>
      </c>
      <c r="E52" s="8">
        <f>H16+H17+H18+H19+H32+H33+H34+H35</f>
        <v>1492.5000000000002</v>
      </c>
    </row>
    <row r="53" spans="4:5" hidden="1" x14ac:dyDescent="0.2">
      <c r="D53" t="s">
        <v>62</v>
      </c>
      <c r="E53" s="8">
        <f>H41-E49-E50-E51-E52</f>
        <v>873.71000000000026</v>
      </c>
    </row>
    <row r="54" spans="4:5" hidden="1" x14ac:dyDescent="0.2">
      <c r="D54" t="s">
        <v>57</v>
      </c>
      <c r="E54" s="8">
        <f>SUM(E49:E53)</f>
        <v>4342.4400000000005</v>
      </c>
    </row>
    <row r="72" spans="5:5" x14ac:dyDescent="0.2">
      <c r="E72">
        <v>0</v>
      </c>
    </row>
  </sheetData>
  <mergeCells count="18">
    <mergeCell ref="C40:D40"/>
    <mergeCell ref="C41:D41"/>
    <mergeCell ref="L6:L7"/>
    <mergeCell ref="B8:B9"/>
    <mergeCell ref="C8:C9"/>
    <mergeCell ref="C26:D26"/>
    <mergeCell ref="C38:D38"/>
    <mergeCell ref="C39:D39"/>
    <mergeCell ref="I3:L3"/>
    <mergeCell ref="B4:L4"/>
    <mergeCell ref="B6:B7"/>
    <mergeCell ref="C6:C7"/>
    <mergeCell ref="D6:D7"/>
    <mergeCell ref="E6:F6"/>
    <mergeCell ref="G6:H6"/>
    <mergeCell ref="I6:I7"/>
    <mergeCell ref="J6:J7"/>
    <mergeCell ref="K6:K7"/>
  </mergeCells>
  <pageMargins left="0.5" right="0" top="0.94" bottom="0.1" header="0.511811023622047" footer="0.511811023622047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O54"/>
  <sheetViews>
    <sheetView view="pageBreakPreview" topLeftCell="A3" zoomScaleNormal="100" zoomScaleSheetLayoutView="100" workbookViewId="0">
      <selection activeCell="D59" sqref="D59"/>
    </sheetView>
  </sheetViews>
  <sheetFormatPr defaultRowHeight="12.75" x14ac:dyDescent="0.2"/>
  <cols>
    <col min="3" max="3" width="17.140625" style="53" customWidth="1"/>
    <col min="4" max="4" width="26.85546875" style="53" customWidth="1"/>
    <col min="9" max="9" width="11.140625" customWidth="1"/>
    <col min="10" max="10" width="10.7109375" customWidth="1"/>
    <col min="11" max="11" width="10.140625" customWidth="1"/>
  </cols>
  <sheetData>
    <row r="3" spans="1:15" ht="13.5" thickBot="1" x14ac:dyDescent="0.25">
      <c r="I3" s="354" t="s">
        <v>130</v>
      </c>
      <c r="J3" s="354"/>
      <c r="K3" s="354"/>
    </row>
    <row r="4" spans="1:15" ht="27.75" customHeight="1" thickBot="1" x14ac:dyDescent="0.25">
      <c r="B4" s="340" t="s">
        <v>131</v>
      </c>
      <c r="C4" s="341"/>
      <c r="D4" s="341"/>
      <c r="E4" s="341"/>
      <c r="F4" s="341"/>
      <c r="G4" s="341"/>
      <c r="H4" s="341"/>
      <c r="I4" s="341"/>
      <c r="J4" s="341"/>
      <c r="K4" s="341"/>
      <c r="L4" s="342"/>
    </row>
    <row r="5" spans="1:15" ht="26.25" customHeight="1" thickBot="1" x14ac:dyDescent="0.25">
      <c r="B5" s="152"/>
      <c r="C5" s="153"/>
      <c r="D5" s="153"/>
      <c r="E5" s="154"/>
      <c r="F5" s="154"/>
      <c r="G5" s="154"/>
      <c r="H5" s="154"/>
      <c r="I5" s="154"/>
      <c r="J5" s="35" t="s">
        <v>73</v>
      </c>
      <c r="K5" s="331" t="s">
        <v>75</v>
      </c>
      <c r="L5" s="332"/>
    </row>
    <row r="6" spans="1:15" ht="13.5" customHeight="1" thickBot="1" x14ac:dyDescent="0.25">
      <c r="B6" s="316" t="s">
        <v>1</v>
      </c>
      <c r="C6" s="318" t="s">
        <v>2</v>
      </c>
      <c r="D6" s="357" t="s">
        <v>3</v>
      </c>
      <c r="E6" s="359" t="s">
        <v>132</v>
      </c>
      <c r="F6" s="360"/>
      <c r="G6" s="155" t="s">
        <v>0</v>
      </c>
      <c r="H6" s="156"/>
      <c r="I6" s="322" t="s">
        <v>69</v>
      </c>
      <c r="J6" s="324" t="s">
        <v>74</v>
      </c>
      <c r="K6" s="326" t="s">
        <v>71</v>
      </c>
      <c r="L6" s="305" t="s">
        <v>72</v>
      </c>
    </row>
    <row r="7" spans="1:15" ht="48" customHeight="1" thickBot="1" x14ac:dyDescent="0.25">
      <c r="B7" s="355"/>
      <c r="C7" s="356"/>
      <c r="D7" s="358"/>
      <c r="E7" s="157" t="s">
        <v>4</v>
      </c>
      <c r="F7" s="158" t="s">
        <v>5</v>
      </c>
      <c r="G7" s="157" t="s">
        <v>4</v>
      </c>
      <c r="H7" s="158" t="s">
        <v>5</v>
      </c>
      <c r="I7" s="323"/>
      <c r="J7" s="325"/>
      <c r="K7" s="327"/>
      <c r="L7" s="306"/>
    </row>
    <row r="8" spans="1:15" ht="25.5" customHeight="1" x14ac:dyDescent="0.2">
      <c r="A8" s="124"/>
      <c r="B8" s="159">
        <v>1</v>
      </c>
      <c r="C8" s="160" t="s">
        <v>6</v>
      </c>
      <c r="D8" s="15" t="s">
        <v>79</v>
      </c>
      <c r="E8" s="161">
        <v>295.33999999999997</v>
      </c>
      <c r="F8" s="161">
        <v>250.15</v>
      </c>
      <c r="G8" s="162">
        <v>212.35</v>
      </c>
      <c r="H8" s="163">
        <v>150.24</v>
      </c>
      <c r="I8" s="161">
        <f>H8/G8*10</f>
        <v>7.0751118436543443</v>
      </c>
      <c r="J8" s="162">
        <v>-29.72</v>
      </c>
      <c r="K8" s="164"/>
      <c r="L8" s="30"/>
    </row>
    <row r="9" spans="1:15" ht="25.5" customHeight="1" x14ac:dyDescent="0.2">
      <c r="A9" s="124"/>
      <c r="B9" s="159">
        <v>2</v>
      </c>
      <c r="C9" s="160" t="s">
        <v>82</v>
      </c>
      <c r="D9" s="15" t="s">
        <v>80</v>
      </c>
      <c r="E9" s="161">
        <v>36.85</v>
      </c>
      <c r="F9" s="161">
        <v>28.89</v>
      </c>
      <c r="G9" s="165">
        <v>44.93</v>
      </c>
      <c r="H9" s="166">
        <v>22.34</v>
      </c>
      <c r="I9" s="161">
        <f>H9/G9*10</f>
        <v>4.9721789450255951</v>
      </c>
      <c r="J9" s="162">
        <v>-3.96</v>
      </c>
      <c r="K9" s="164"/>
      <c r="L9" s="30"/>
    </row>
    <row r="10" spans="1:15" ht="48" customHeight="1" x14ac:dyDescent="0.2">
      <c r="A10" s="4"/>
      <c r="B10" s="167">
        <v>3</v>
      </c>
      <c r="C10" s="4" t="s">
        <v>7</v>
      </c>
      <c r="D10" s="4" t="s">
        <v>88</v>
      </c>
      <c r="E10" s="165">
        <v>1057.55</v>
      </c>
      <c r="F10" s="165">
        <v>891.09</v>
      </c>
      <c r="G10" s="165">
        <v>1049.72</v>
      </c>
      <c r="H10" s="168">
        <v>713.28</v>
      </c>
      <c r="I10" s="165">
        <f t="shared" ref="I10:I39" si="0">H10/G10*10</f>
        <v>6.7949548451015502</v>
      </c>
      <c r="J10" s="169">
        <v>0.7</v>
      </c>
      <c r="K10" s="170"/>
      <c r="L10" s="26"/>
    </row>
    <row r="11" spans="1:15" ht="23.25" customHeight="1" x14ac:dyDescent="0.2">
      <c r="A11" s="4"/>
      <c r="B11" s="167">
        <v>4</v>
      </c>
      <c r="C11" s="4" t="s">
        <v>8</v>
      </c>
      <c r="D11" s="4" t="s">
        <v>89</v>
      </c>
      <c r="E11" s="165">
        <v>504.25</v>
      </c>
      <c r="F11" s="165">
        <v>418.6</v>
      </c>
      <c r="G11" s="165">
        <v>499.68</v>
      </c>
      <c r="H11" s="171">
        <v>355.98</v>
      </c>
      <c r="I11" s="165">
        <f t="shared" si="0"/>
        <v>7.124159462055716</v>
      </c>
      <c r="J11" s="169">
        <v>31.64</v>
      </c>
      <c r="K11" s="170"/>
      <c r="L11" s="26"/>
    </row>
    <row r="12" spans="1:15" ht="41.25" customHeight="1" x14ac:dyDescent="0.2">
      <c r="A12" s="4"/>
      <c r="B12" s="167">
        <v>5</v>
      </c>
      <c r="C12" s="4" t="s">
        <v>10</v>
      </c>
      <c r="D12" s="4" t="s">
        <v>90</v>
      </c>
      <c r="E12" s="165">
        <v>19.05</v>
      </c>
      <c r="F12" s="165">
        <v>19.72</v>
      </c>
      <c r="G12" s="165">
        <v>18.89</v>
      </c>
      <c r="H12" s="171">
        <v>17.59</v>
      </c>
      <c r="I12" s="165">
        <f t="shared" si="0"/>
        <v>9.3118051879301209</v>
      </c>
      <c r="J12" s="172">
        <v>23.95</v>
      </c>
      <c r="K12" s="170"/>
      <c r="L12" s="26"/>
    </row>
    <row r="13" spans="1:15" ht="33.75" x14ac:dyDescent="0.2">
      <c r="A13" s="4"/>
      <c r="B13" s="167">
        <v>6</v>
      </c>
      <c r="C13" s="4" t="s">
        <v>11</v>
      </c>
      <c r="D13" s="4" t="s">
        <v>91</v>
      </c>
      <c r="E13" s="165">
        <v>4.5</v>
      </c>
      <c r="F13" s="165">
        <v>4.59</v>
      </c>
      <c r="G13" s="165">
        <v>4.46</v>
      </c>
      <c r="H13" s="171">
        <v>3.91</v>
      </c>
      <c r="I13" s="165">
        <f t="shared" si="0"/>
        <v>8.7668161434977581</v>
      </c>
      <c r="J13" s="172">
        <v>43.54</v>
      </c>
      <c r="K13" s="170"/>
      <c r="L13" s="26"/>
      <c r="O13">
        <f>18.08+3.34</f>
        <v>21.419999999999998</v>
      </c>
    </row>
    <row r="14" spans="1:15" ht="33.75" x14ac:dyDescent="0.2">
      <c r="A14" s="4"/>
      <c r="B14" s="167">
        <v>7</v>
      </c>
      <c r="C14" s="4" t="s">
        <v>13</v>
      </c>
      <c r="D14" s="4" t="s">
        <v>92</v>
      </c>
      <c r="E14" s="165">
        <v>360.52</v>
      </c>
      <c r="F14" s="165">
        <v>414.68</v>
      </c>
      <c r="G14" s="165">
        <v>348.94</v>
      </c>
      <c r="H14" s="171">
        <v>354.35</v>
      </c>
      <c r="I14" s="165">
        <f t="shared" si="0"/>
        <v>10.155040981257525</v>
      </c>
      <c r="J14" s="169">
        <v>27.4</v>
      </c>
      <c r="K14" s="170"/>
      <c r="L14" s="26"/>
    </row>
    <row r="15" spans="1:15" ht="23.25" customHeight="1" x14ac:dyDescent="0.2">
      <c r="A15" s="4"/>
      <c r="B15" s="167">
        <v>8</v>
      </c>
      <c r="C15" s="4" t="s">
        <v>14</v>
      </c>
      <c r="D15" s="4" t="s">
        <v>93</v>
      </c>
      <c r="E15" s="165">
        <v>153.76</v>
      </c>
      <c r="F15" s="165">
        <v>159.22999999999999</v>
      </c>
      <c r="G15" s="165">
        <v>148.83000000000001</v>
      </c>
      <c r="H15" s="171">
        <v>134.15</v>
      </c>
      <c r="I15" s="165">
        <f t="shared" si="0"/>
        <v>9.0136397231740908</v>
      </c>
      <c r="J15" s="169">
        <v>-8.27</v>
      </c>
      <c r="K15" s="170"/>
      <c r="L15" s="26"/>
    </row>
    <row r="16" spans="1:15" ht="13.5" x14ac:dyDescent="0.2">
      <c r="A16" s="4"/>
      <c r="B16" s="167">
        <v>9</v>
      </c>
      <c r="C16" s="4" t="s">
        <v>94</v>
      </c>
      <c r="D16" s="4" t="s">
        <v>40</v>
      </c>
      <c r="E16" s="165">
        <v>6619.47</v>
      </c>
      <c r="F16" s="165">
        <v>5236</v>
      </c>
      <c r="G16" s="165">
        <v>6619.47</v>
      </c>
      <c r="H16" s="171">
        <v>4296.04</v>
      </c>
      <c r="I16" s="165">
        <f t="shared" si="0"/>
        <v>6.4900059974590105</v>
      </c>
      <c r="J16" s="172">
        <v>-35.119999999999997</v>
      </c>
      <c r="K16" s="170"/>
      <c r="L16" s="26"/>
    </row>
    <row r="17" spans="1:15" ht="13.5" x14ac:dyDescent="0.2">
      <c r="A17" s="4"/>
      <c r="B17" s="167">
        <v>10</v>
      </c>
      <c r="C17" s="4" t="s">
        <v>17</v>
      </c>
      <c r="D17" s="4" t="s">
        <v>18</v>
      </c>
      <c r="E17" s="165">
        <v>16.96</v>
      </c>
      <c r="F17" s="165">
        <v>10.130000000000001</v>
      </c>
      <c r="G17" s="165">
        <v>17.940000000000001</v>
      </c>
      <c r="H17" s="171">
        <v>8.23</v>
      </c>
      <c r="I17" s="165">
        <f t="shared" si="0"/>
        <v>4.5875139353400227</v>
      </c>
      <c r="J17" s="169">
        <v>-26.51</v>
      </c>
      <c r="K17" s="170"/>
      <c r="L17" s="26"/>
    </row>
    <row r="18" spans="1:15" ht="33.75" x14ac:dyDescent="0.2">
      <c r="A18" s="4"/>
      <c r="B18" s="167">
        <v>11</v>
      </c>
      <c r="C18" s="4" t="s">
        <v>54</v>
      </c>
      <c r="D18" s="4" t="s">
        <v>95</v>
      </c>
      <c r="E18" s="165">
        <v>0.94</v>
      </c>
      <c r="F18" s="165">
        <v>0.56000000000000005</v>
      </c>
      <c r="G18" s="165">
        <v>0.9</v>
      </c>
      <c r="H18" s="171">
        <v>0.47</v>
      </c>
      <c r="I18" s="165">
        <f t="shared" si="0"/>
        <v>5.2222222222222214</v>
      </c>
      <c r="J18" s="172">
        <v>26.69</v>
      </c>
      <c r="K18" s="170"/>
      <c r="L18" s="26"/>
      <c r="O18">
        <f>106.4+0.51</f>
        <v>106.91000000000001</v>
      </c>
    </row>
    <row r="19" spans="1:15" ht="39.75" customHeight="1" x14ac:dyDescent="0.3">
      <c r="A19" s="4"/>
      <c r="B19" s="167">
        <v>12</v>
      </c>
      <c r="C19" s="4" t="s">
        <v>55</v>
      </c>
      <c r="D19" s="4" t="s">
        <v>96</v>
      </c>
      <c r="E19" s="165">
        <v>0.13</v>
      </c>
      <c r="F19" s="165">
        <v>0.1</v>
      </c>
      <c r="G19" s="173">
        <v>0.12</v>
      </c>
      <c r="H19" s="174">
        <v>0.11</v>
      </c>
      <c r="I19" s="165">
        <f t="shared" si="0"/>
        <v>9.1666666666666679</v>
      </c>
      <c r="J19" s="169">
        <v>16.97</v>
      </c>
      <c r="K19" s="170"/>
      <c r="L19" s="26"/>
    </row>
    <row r="20" spans="1:15" ht="13.5" x14ac:dyDescent="0.2">
      <c r="A20" s="4"/>
      <c r="B20" s="167">
        <v>13</v>
      </c>
      <c r="C20" s="4" t="s">
        <v>19</v>
      </c>
      <c r="D20" s="4" t="s">
        <v>98</v>
      </c>
      <c r="E20" s="165">
        <v>115.74</v>
      </c>
      <c r="F20" s="165">
        <v>120.18</v>
      </c>
      <c r="G20" s="165">
        <v>120.03</v>
      </c>
      <c r="H20" s="171">
        <v>99.33</v>
      </c>
      <c r="I20" s="165">
        <f t="shared" si="0"/>
        <v>8.2754311422144475</v>
      </c>
      <c r="J20" s="172">
        <v>39.36</v>
      </c>
      <c r="K20" s="170"/>
      <c r="L20" s="26"/>
    </row>
    <row r="21" spans="1:15" ht="13.5" x14ac:dyDescent="0.2">
      <c r="A21" s="4"/>
      <c r="B21" s="167">
        <v>14</v>
      </c>
      <c r="C21" s="4" t="s">
        <v>99</v>
      </c>
      <c r="D21" s="4" t="s">
        <v>98</v>
      </c>
      <c r="E21" s="165">
        <v>214.94</v>
      </c>
      <c r="F21" s="165">
        <v>233.05</v>
      </c>
      <c r="G21" s="165">
        <v>213.65</v>
      </c>
      <c r="H21" s="171">
        <v>210.66</v>
      </c>
      <c r="I21" s="165">
        <f t="shared" si="0"/>
        <v>9.8600514860753563</v>
      </c>
      <c r="J21" s="169">
        <v>-26.56</v>
      </c>
      <c r="K21" s="170"/>
      <c r="L21" s="26"/>
    </row>
    <row r="22" spans="1:15" ht="14.25" thickBot="1" x14ac:dyDescent="0.25">
      <c r="A22" s="4"/>
      <c r="B22" s="175">
        <v>15</v>
      </c>
      <c r="C22" s="4" t="s">
        <v>21</v>
      </c>
      <c r="D22" s="4" t="s">
        <v>22</v>
      </c>
      <c r="E22" s="165">
        <v>335.23</v>
      </c>
      <c r="F22" s="165">
        <v>222.57</v>
      </c>
      <c r="G22" s="165">
        <v>333.52</v>
      </c>
      <c r="H22" s="171">
        <v>173.28</v>
      </c>
      <c r="I22" s="165">
        <f t="shared" si="0"/>
        <v>5.1954905253058294</v>
      </c>
      <c r="J22" s="172">
        <v>-5.38</v>
      </c>
      <c r="K22" s="170"/>
      <c r="L22" s="26"/>
    </row>
    <row r="23" spans="1:15" ht="13.5" x14ac:dyDescent="0.2">
      <c r="A23" s="4"/>
      <c r="B23" s="167">
        <v>16</v>
      </c>
      <c r="C23" s="4" t="s">
        <v>21</v>
      </c>
      <c r="D23" s="4" t="s">
        <v>23</v>
      </c>
      <c r="E23" s="165">
        <v>166.6</v>
      </c>
      <c r="F23" s="165">
        <f>134.06+0.68</f>
        <v>134.74</v>
      </c>
      <c r="G23" s="165">
        <f>151.48+0.14</f>
        <v>151.61999999999998</v>
      </c>
      <c r="H23" s="171">
        <f>101.41+0.07</f>
        <v>101.47999999999999</v>
      </c>
      <c r="I23" s="165">
        <f t="shared" si="0"/>
        <v>6.6930484104999346</v>
      </c>
      <c r="J23" s="169">
        <v>-25.84</v>
      </c>
      <c r="K23" s="170"/>
      <c r="L23" s="26"/>
      <c r="O23">
        <f>8940.58-8941.34</f>
        <v>-0.76000000000021828</v>
      </c>
    </row>
    <row r="24" spans="1:15" ht="13.5" x14ac:dyDescent="0.2">
      <c r="A24" s="5"/>
      <c r="B24" s="176">
        <v>17</v>
      </c>
      <c r="C24" s="4" t="s">
        <v>77</v>
      </c>
      <c r="D24" s="4" t="s">
        <v>24</v>
      </c>
      <c r="E24" s="165">
        <v>32.75</v>
      </c>
      <c r="F24" s="165">
        <v>38.22</v>
      </c>
      <c r="G24" s="165">
        <v>32.75</v>
      </c>
      <c r="H24" s="166">
        <v>49.42</v>
      </c>
      <c r="I24" s="165">
        <f t="shared" si="0"/>
        <v>15.090076335877862</v>
      </c>
      <c r="J24" s="173">
        <v>109.03</v>
      </c>
      <c r="K24" s="36"/>
      <c r="L24" s="36"/>
    </row>
    <row r="25" spans="1:15" ht="22.5" x14ac:dyDescent="0.2">
      <c r="A25" s="46"/>
      <c r="B25" s="177">
        <v>18</v>
      </c>
      <c r="C25" s="4" t="s">
        <v>78</v>
      </c>
      <c r="D25" s="4" t="s">
        <v>76</v>
      </c>
      <c r="E25" s="165">
        <v>0.33</v>
      </c>
      <c r="F25" s="165">
        <v>0.51</v>
      </c>
      <c r="G25" s="165">
        <v>0.33</v>
      </c>
      <c r="H25" s="166">
        <v>0.59</v>
      </c>
      <c r="I25" s="165">
        <f t="shared" si="0"/>
        <v>17.878787878787875</v>
      </c>
      <c r="J25" s="173">
        <v>153.88</v>
      </c>
      <c r="K25" s="36"/>
      <c r="L25" s="36"/>
    </row>
    <row r="26" spans="1:15" ht="14.25" thickBot="1" x14ac:dyDescent="0.25">
      <c r="B26" s="176"/>
      <c r="C26" s="361" t="s">
        <v>25</v>
      </c>
      <c r="D26" s="353"/>
      <c r="E26" s="178">
        <f>SUM(E8:E25)</f>
        <v>9934.91</v>
      </c>
      <c r="F26" s="178">
        <f>SUM(F8:F25)+0.01</f>
        <v>8183.0200000000013</v>
      </c>
      <c r="G26" s="251">
        <f>SUM(G8:G25)</f>
        <v>9818.1300000000028</v>
      </c>
      <c r="H26" s="178">
        <f>SUM(H8:H25)+0.01</f>
        <v>6691.4599999999991</v>
      </c>
      <c r="I26" s="178">
        <f t="shared" si="0"/>
        <v>6.8154118961553749</v>
      </c>
      <c r="J26" s="179">
        <v>-3.65</v>
      </c>
      <c r="K26" s="82"/>
      <c r="L26" s="135"/>
      <c r="M26" s="8">
        <f>6690.47-H26</f>
        <v>-0.98999999999887223</v>
      </c>
    </row>
    <row r="27" spans="1:15" ht="12.75" customHeight="1" x14ac:dyDescent="0.2">
      <c r="B27" s="167">
        <v>1</v>
      </c>
      <c r="C27" s="6" t="s">
        <v>26</v>
      </c>
      <c r="D27" s="6" t="s">
        <v>27</v>
      </c>
      <c r="E27" s="161">
        <v>263.2</v>
      </c>
      <c r="F27" s="161">
        <v>146.22</v>
      </c>
      <c r="G27" s="161">
        <v>263.2</v>
      </c>
      <c r="H27" s="180">
        <v>154.27000000000001</v>
      </c>
      <c r="I27" s="161">
        <f t="shared" si="0"/>
        <v>5.861322188449849</v>
      </c>
      <c r="J27" s="181">
        <v>-17.16</v>
      </c>
      <c r="K27" s="164"/>
      <c r="L27" s="30"/>
    </row>
    <row r="28" spans="1:15" ht="23.25" customHeight="1" x14ac:dyDescent="0.2">
      <c r="B28" s="167">
        <v>2</v>
      </c>
      <c r="C28" s="4" t="s">
        <v>101</v>
      </c>
      <c r="D28" s="4" t="s">
        <v>133</v>
      </c>
      <c r="E28" s="165">
        <v>1069.42</v>
      </c>
      <c r="F28" s="165">
        <v>848.97</v>
      </c>
      <c r="G28" s="165">
        <v>1065.71</v>
      </c>
      <c r="H28" s="171">
        <v>887.83</v>
      </c>
      <c r="I28" s="165">
        <f t="shared" si="0"/>
        <v>8.3308780062118224</v>
      </c>
      <c r="J28" s="169">
        <v>17.75</v>
      </c>
      <c r="K28" s="170"/>
      <c r="L28" s="26"/>
    </row>
    <row r="29" spans="1:15" ht="13.5" x14ac:dyDescent="0.2">
      <c r="B29" s="167">
        <v>3</v>
      </c>
      <c r="C29" s="4" t="s">
        <v>103</v>
      </c>
      <c r="D29" s="4" t="s">
        <v>104</v>
      </c>
      <c r="E29" s="165">
        <v>130.34</v>
      </c>
      <c r="F29" s="165">
        <v>126.74</v>
      </c>
      <c r="G29" s="165">
        <v>129.63999999999999</v>
      </c>
      <c r="H29" s="171">
        <v>131.01</v>
      </c>
      <c r="I29" s="165">
        <f t="shared" si="0"/>
        <v>10.105677260104907</v>
      </c>
      <c r="J29" s="169">
        <v>42.84</v>
      </c>
      <c r="K29" s="170"/>
      <c r="L29" s="26"/>
    </row>
    <row r="30" spans="1:15" ht="22.5" x14ac:dyDescent="0.2">
      <c r="B30" s="167">
        <v>4</v>
      </c>
      <c r="C30" s="4" t="s">
        <v>65</v>
      </c>
      <c r="D30" s="13" t="s">
        <v>67</v>
      </c>
      <c r="E30" s="165">
        <v>88.84</v>
      </c>
      <c r="F30" s="165">
        <v>65.62</v>
      </c>
      <c r="G30" s="165">
        <v>56.73</v>
      </c>
      <c r="H30" s="171">
        <v>46.77</v>
      </c>
      <c r="I30" s="165">
        <f t="shared" si="0"/>
        <v>8.2443151771549452</v>
      </c>
      <c r="J30" s="172">
        <v>16.53</v>
      </c>
      <c r="K30" s="170"/>
      <c r="L30" s="26"/>
      <c r="O30" s="8">
        <f>G26-8940.58</f>
        <v>877.55000000000291</v>
      </c>
    </row>
    <row r="31" spans="1:15" ht="33.75" x14ac:dyDescent="0.2">
      <c r="B31" s="167">
        <v>5</v>
      </c>
      <c r="C31" s="4" t="s">
        <v>66</v>
      </c>
      <c r="D31" s="13" t="s">
        <v>68</v>
      </c>
      <c r="E31" s="165">
        <v>22.99</v>
      </c>
      <c r="F31" s="165">
        <v>20.93</v>
      </c>
      <c r="G31" s="165">
        <v>37.42</v>
      </c>
      <c r="H31" s="171">
        <v>34.92</v>
      </c>
      <c r="I31" s="165">
        <f t="shared" si="0"/>
        <v>9.331908070550508</v>
      </c>
      <c r="J31" s="172">
        <v>31.89</v>
      </c>
      <c r="K31" s="170"/>
      <c r="L31" s="26"/>
    </row>
    <row r="32" spans="1:15" ht="33.75" customHeight="1" x14ac:dyDescent="0.2">
      <c r="B32" s="167">
        <v>6</v>
      </c>
      <c r="C32" s="4" t="s">
        <v>30</v>
      </c>
      <c r="D32" s="4" t="s">
        <v>107</v>
      </c>
      <c r="E32" s="165">
        <v>191.02</v>
      </c>
      <c r="F32" s="165">
        <v>70.069999999999993</v>
      </c>
      <c r="G32" s="165">
        <v>191.49</v>
      </c>
      <c r="H32" s="171">
        <v>52.66</v>
      </c>
      <c r="I32" s="165">
        <f t="shared" si="0"/>
        <v>2.7500130555120368</v>
      </c>
      <c r="J32" s="172">
        <v>-61.13</v>
      </c>
      <c r="K32" s="170"/>
      <c r="L32" s="26"/>
    </row>
    <row r="33" spans="2:14" ht="49.5" customHeight="1" x14ac:dyDescent="0.2">
      <c r="B33" s="167">
        <v>7</v>
      </c>
      <c r="C33" s="4" t="s">
        <v>31</v>
      </c>
      <c r="D33" s="4" t="s">
        <v>108</v>
      </c>
      <c r="E33" s="165">
        <v>144.68</v>
      </c>
      <c r="F33" s="165">
        <v>43.14</v>
      </c>
      <c r="G33" s="165">
        <v>144.21</v>
      </c>
      <c r="H33" s="171">
        <v>49</v>
      </c>
      <c r="I33" s="165">
        <f t="shared" si="0"/>
        <v>3.397822619790583</v>
      </c>
      <c r="J33" s="172">
        <v>-51.97</v>
      </c>
      <c r="K33" s="170"/>
      <c r="L33" s="26"/>
    </row>
    <row r="34" spans="2:14" ht="24.75" customHeight="1" x14ac:dyDescent="0.2">
      <c r="B34" s="167">
        <v>8</v>
      </c>
      <c r="C34" s="4" t="s">
        <v>37</v>
      </c>
      <c r="D34" s="4" t="s">
        <v>109</v>
      </c>
      <c r="E34" s="165">
        <v>2.62</v>
      </c>
      <c r="F34" s="165">
        <v>0.9</v>
      </c>
      <c r="G34" s="165">
        <v>2.62</v>
      </c>
      <c r="H34" s="171">
        <v>1.03</v>
      </c>
      <c r="I34" s="165">
        <f t="shared" si="0"/>
        <v>3.9312977099236641</v>
      </c>
      <c r="J34" s="169">
        <v>-44.42</v>
      </c>
      <c r="K34" s="170"/>
      <c r="L34" s="26"/>
    </row>
    <row r="35" spans="2:14" ht="55.9" customHeight="1" x14ac:dyDescent="0.2">
      <c r="B35" s="167">
        <v>9</v>
      </c>
      <c r="C35" s="4" t="s">
        <v>32</v>
      </c>
      <c r="D35" s="182" t="s">
        <v>56</v>
      </c>
      <c r="E35" s="165">
        <v>7.0000000000000007E-2</v>
      </c>
      <c r="F35" s="165">
        <v>0.03</v>
      </c>
      <c r="G35" s="165">
        <v>0.06</v>
      </c>
      <c r="H35" s="171">
        <v>0.03</v>
      </c>
      <c r="I35" s="165">
        <f t="shared" si="0"/>
        <v>5</v>
      </c>
      <c r="J35" s="169">
        <v>-32.86</v>
      </c>
      <c r="K35" s="170"/>
      <c r="L35" s="26"/>
    </row>
    <row r="36" spans="2:14" ht="13.5" x14ac:dyDescent="0.2">
      <c r="B36" s="167">
        <v>10</v>
      </c>
      <c r="C36" s="4" t="s">
        <v>110</v>
      </c>
      <c r="D36" s="13" t="s">
        <v>111</v>
      </c>
      <c r="E36" s="165">
        <v>14.88</v>
      </c>
      <c r="F36" s="165">
        <v>10.52</v>
      </c>
      <c r="G36" s="165">
        <v>14.37</v>
      </c>
      <c r="H36" s="171">
        <v>11.05</v>
      </c>
      <c r="I36" s="165">
        <f t="shared" si="0"/>
        <v>7.6896311760612406</v>
      </c>
      <c r="J36" s="172">
        <v>8.7200000000000006</v>
      </c>
      <c r="K36" s="170"/>
      <c r="L36" s="26"/>
    </row>
    <row r="37" spans="2:14" ht="14.25" thickBot="1" x14ac:dyDescent="0.25">
      <c r="B37" s="175">
        <v>11</v>
      </c>
      <c r="C37" s="5" t="s">
        <v>63</v>
      </c>
      <c r="D37" s="86" t="s">
        <v>24</v>
      </c>
      <c r="E37" s="183">
        <v>24.82</v>
      </c>
      <c r="F37" s="183">
        <v>47.1</v>
      </c>
      <c r="G37" s="183">
        <v>24.82</v>
      </c>
      <c r="H37" s="184">
        <v>32.06</v>
      </c>
      <c r="I37" s="183">
        <f t="shared" si="0"/>
        <v>12.917002417405319</v>
      </c>
      <c r="J37" s="185">
        <v>82.55</v>
      </c>
      <c r="K37" s="186"/>
      <c r="L37" s="39"/>
      <c r="M37" s="79"/>
      <c r="N37" s="79"/>
    </row>
    <row r="38" spans="2:14" ht="13.5" thickBot="1" x14ac:dyDescent="0.25">
      <c r="B38" s="187"/>
      <c r="C38" s="335" t="s">
        <v>34</v>
      </c>
      <c r="D38" s="336"/>
      <c r="E38" s="188">
        <f>SUM(E27:E37)</f>
        <v>1952.8799999999999</v>
      </c>
      <c r="F38" s="188">
        <f>SUM(F27:F37)</f>
        <v>1380.2400000000002</v>
      </c>
      <c r="G38" s="188">
        <f>SUM(G27:G37)</f>
        <v>1930.27</v>
      </c>
      <c r="H38" s="188">
        <f>SUM(H27:H37)</f>
        <v>1400.63</v>
      </c>
      <c r="I38" s="188">
        <f t="shared" si="0"/>
        <v>7.2561351520771709</v>
      </c>
      <c r="J38" s="189">
        <v>2.56</v>
      </c>
      <c r="K38" s="93"/>
      <c r="L38" s="42"/>
      <c r="M38" s="79"/>
      <c r="N38" s="79"/>
    </row>
    <row r="39" spans="2:14" ht="15.75" thickBot="1" x14ac:dyDescent="0.25">
      <c r="B39" s="190"/>
      <c r="C39" s="362" t="s">
        <v>57</v>
      </c>
      <c r="D39" s="363"/>
      <c r="E39" s="191">
        <f>SUM(E26:E37)</f>
        <v>11887.79</v>
      </c>
      <c r="F39" s="188">
        <f>F38+F26</f>
        <v>9563.260000000002</v>
      </c>
      <c r="G39" s="192">
        <f>SUM(G26:G37)</f>
        <v>11748.400000000003</v>
      </c>
      <c r="H39" s="192">
        <f>SUM(H26:H37)</f>
        <v>8092.09</v>
      </c>
      <c r="I39" s="192">
        <f t="shared" si="0"/>
        <v>6.8878230227094743</v>
      </c>
      <c r="J39" s="193">
        <v>-2.63</v>
      </c>
      <c r="K39" s="194"/>
      <c r="L39" s="195"/>
      <c r="M39" s="79"/>
      <c r="N39" s="79"/>
    </row>
    <row r="40" spans="2:14" x14ac:dyDescent="0.2">
      <c r="B40" s="196"/>
      <c r="C40" s="337" t="s">
        <v>39</v>
      </c>
      <c r="D40" s="337"/>
      <c r="E40" s="161"/>
      <c r="F40" s="161"/>
      <c r="G40" s="161"/>
      <c r="H40" s="197">
        <v>218.72</v>
      </c>
      <c r="I40" s="198"/>
      <c r="J40" s="199"/>
      <c r="K40" s="99"/>
      <c r="L40" s="200"/>
      <c r="M40" s="79"/>
      <c r="N40" s="79"/>
    </row>
    <row r="41" spans="2:14" ht="21" customHeight="1" thickBot="1" x14ac:dyDescent="0.25">
      <c r="B41" s="201"/>
      <c r="C41" s="364" t="s">
        <v>134</v>
      </c>
      <c r="D41" s="365"/>
      <c r="E41" s="183"/>
      <c r="F41" s="183"/>
      <c r="G41" s="183"/>
      <c r="H41" s="202"/>
      <c r="I41" s="203"/>
      <c r="J41" s="204"/>
      <c r="K41" s="111"/>
      <c r="L41" s="205"/>
      <c r="M41" s="79"/>
      <c r="N41" s="79"/>
    </row>
    <row r="42" spans="2:14" ht="13.5" thickBot="1" x14ac:dyDescent="0.25">
      <c r="B42" s="206"/>
      <c r="C42" s="335" t="s">
        <v>36</v>
      </c>
      <c r="D42" s="336"/>
      <c r="E42" s="188">
        <f>E40+E39</f>
        <v>11887.79</v>
      </c>
      <c r="F42" s="188">
        <f>F40+F39</f>
        <v>9563.260000000002</v>
      </c>
      <c r="G42" s="188">
        <f>G40+G39+G41</f>
        <v>11748.400000000003</v>
      </c>
      <c r="H42" s="188">
        <f>H40+H39+H41-0.01</f>
        <v>8310.7999999999993</v>
      </c>
      <c r="I42" s="192">
        <f>H42/G39*10</f>
        <v>7.0739845425760075</v>
      </c>
      <c r="J42" s="207"/>
      <c r="K42" s="192"/>
      <c r="L42" s="208"/>
      <c r="M42" s="209"/>
      <c r="N42" s="79"/>
    </row>
    <row r="43" spans="2:14" x14ac:dyDescent="0.2">
      <c r="B43" s="9"/>
      <c r="C43" s="113"/>
      <c r="D43" s="113"/>
      <c r="E43" s="9"/>
      <c r="F43" s="14"/>
      <c r="G43" s="14"/>
      <c r="H43" s="9"/>
      <c r="I43" s="9"/>
      <c r="K43" s="79"/>
      <c r="L43" s="79"/>
      <c r="M43" s="79"/>
      <c r="N43" s="79"/>
    </row>
    <row r="44" spans="2:14" x14ac:dyDescent="0.2">
      <c r="B44" s="10" t="s">
        <v>135</v>
      </c>
      <c r="C44" s="116"/>
      <c r="D44" s="116"/>
      <c r="E44" s="10"/>
      <c r="F44" s="10"/>
      <c r="G44" s="10"/>
      <c r="H44" s="10"/>
      <c r="I44" s="9"/>
      <c r="K44" s="79"/>
      <c r="L44" s="79"/>
      <c r="M44" s="79"/>
      <c r="N44" s="79"/>
    </row>
    <row r="45" spans="2:14" x14ac:dyDescent="0.2">
      <c r="B45" s="10" t="s">
        <v>136</v>
      </c>
      <c r="C45" s="116"/>
      <c r="D45" s="116"/>
      <c r="E45" s="10"/>
      <c r="F45" s="10"/>
      <c r="G45" s="10"/>
      <c r="I45" s="9"/>
      <c r="K45" s="79"/>
      <c r="L45" s="79"/>
      <c r="M45" s="79"/>
      <c r="N45" s="79"/>
    </row>
    <row r="46" spans="2:14" ht="13.5" x14ac:dyDescent="0.25">
      <c r="B46" s="10" t="s">
        <v>137</v>
      </c>
      <c r="C46" s="10"/>
      <c r="D46" s="10"/>
      <c r="E46" s="10"/>
      <c r="F46" s="148"/>
      <c r="G46" s="148"/>
      <c r="K46" s="210" t="s">
        <v>138</v>
      </c>
      <c r="L46" s="79"/>
      <c r="M46" s="79"/>
      <c r="N46" s="79"/>
    </row>
    <row r="47" spans="2:14" x14ac:dyDescent="0.2">
      <c r="B47" s="150"/>
      <c r="C47" s="211"/>
      <c r="D47" s="211"/>
      <c r="E47" s="150"/>
      <c r="F47" s="150"/>
      <c r="G47" s="150"/>
      <c r="H47" s="150"/>
      <c r="K47" s="79"/>
      <c r="L47" s="79"/>
      <c r="M47" s="79"/>
      <c r="N47" s="79"/>
    </row>
    <row r="49" spans="4:5" hidden="1" x14ac:dyDescent="0.2">
      <c r="D49" t="s">
        <v>58</v>
      </c>
      <c r="E49" s="8">
        <f>H8+H10+H11+H36+H37</f>
        <v>1262.6099999999999</v>
      </c>
    </row>
    <row r="50" spans="4:5" hidden="1" x14ac:dyDescent="0.2">
      <c r="D50" t="s">
        <v>59</v>
      </c>
      <c r="E50" s="8">
        <f>H14+H15+H29</f>
        <v>619.51</v>
      </c>
    </row>
    <row r="51" spans="4:5" hidden="1" x14ac:dyDescent="0.2">
      <c r="D51" t="s">
        <v>60</v>
      </c>
      <c r="E51" s="8">
        <f>H20+H28</f>
        <v>987.16000000000008</v>
      </c>
    </row>
    <row r="52" spans="4:5" hidden="1" x14ac:dyDescent="0.2">
      <c r="D52" t="s">
        <v>61</v>
      </c>
      <c r="E52" s="8">
        <f>H16+H17+H18+H19+H32+H33+H34+H35</f>
        <v>4407.5699999999988</v>
      </c>
    </row>
    <row r="53" spans="4:5" hidden="1" x14ac:dyDescent="0.2">
      <c r="D53" t="s">
        <v>62</v>
      </c>
      <c r="E53" s="8">
        <f>H42-E49-E50-E51-E52</f>
        <v>1033.9500000000007</v>
      </c>
    </row>
    <row r="54" spans="4:5" hidden="1" x14ac:dyDescent="0.2">
      <c r="D54" t="s">
        <v>57</v>
      </c>
      <c r="E54" s="8">
        <f>SUM(E49:E53)</f>
        <v>8310.7999999999993</v>
      </c>
    </row>
  </sheetData>
  <mergeCells count="17">
    <mergeCell ref="C42:D42"/>
    <mergeCell ref="L6:L7"/>
    <mergeCell ref="C26:D26"/>
    <mergeCell ref="C38:D38"/>
    <mergeCell ref="C39:D39"/>
    <mergeCell ref="C40:D40"/>
    <mergeCell ref="C41:D41"/>
    <mergeCell ref="I3:K3"/>
    <mergeCell ref="B4:L4"/>
    <mergeCell ref="K5:L5"/>
    <mergeCell ref="B6:B7"/>
    <mergeCell ref="C6:C7"/>
    <mergeCell ref="D6:D7"/>
    <mergeCell ref="E6:F6"/>
    <mergeCell ref="I6:I7"/>
    <mergeCell ref="J6:J7"/>
    <mergeCell ref="K6:K7"/>
  </mergeCells>
  <pageMargins left="0.5" right="0" top="0.94" bottom="0.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Q53"/>
  <sheetViews>
    <sheetView topLeftCell="A28" zoomScaleNormal="100" workbookViewId="0">
      <selection activeCell="N34" sqref="N34"/>
    </sheetView>
  </sheetViews>
  <sheetFormatPr defaultRowHeight="12.75" x14ac:dyDescent="0.2"/>
  <cols>
    <col min="2" max="2" width="6.85546875" customWidth="1"/>
    <col min="3" max="3" width="10.5703125" style="53" customWidth="1"/>
    <col min="4" max="4" width="26" style="53" customWidth="1"/>
    <col min="7" max="7" width="9.42578125" customWidth="1"/>
    <col min="9" max="9" width="11.5703125" customWidth="1"/>
    <col min="10" max="10" width="11.85546875" customWidth="1"/>
    <col min="11" max="11" width="11.5703125" customWidth="1"/>
    <col min="12" max="12" width="10" customWidth="1"/>
    <col min="13" max="13" width="11.42578125" bestFit="1" customWidth="1"/>
  </cols>
  <sheetData>
    <row r="1" spans="1:17" x14ac:dyDescent="0.2">
      <c r="A1" s="79"/>
      <c r="B1" s="79"/>
      <c r="C1" s="212"/>
      <c r="D1" s="212"/>
      <c r="E1" s="79"/>
      <c r="F1" s="79"/>
      <c r="G1" s="79"/>
      <c r="H1" s="79"/>
      <c r="I1" s="79"/>
      <c r="J1" s="79"/>
      <c r="K1" s="79"/>
    </row>
    <row r="2" spans="1:17" ht="13.5" thickBot="1" x14ac:dyDescent="0.25">
      <c r="A2" s="79"/>
      <c r="B2" s="79"/>
      <c r="C2" s="212"/>
      <c r="D2" s="212"/>
      <c r="E2" s="79"/>
      <c r="F2" s="79"/>
      <c r="G2" s="79"/>
      <c r="H2" s="79"/>
      <c r="K2" s="354" t="s">
        <v>139</v>
      </c>
      <c r="L2" s="354"/>
    </row>
    <row r="3" spans="1:17" ht="21" customHeight="1" thickBot="1" x14ac:dyDescent="0.25">
      <c r="B3" s="366" t="s">
        <v>140</v>
      </c>
      <c r="C3" s="367"/>
      <c r="D3" s="367"/>
      <c r="E3" s="367"/>
      <c r="F3" s="367"/>
      <c r="G3" s="367"/>
      <c r="H3" s="367"/>
      <c r="I3" s="367"/>
      <c r="J3" s="367"/>
      <c r="K3" s="367"/>
      <c r="L3" s="368"/>
    </row>
    <row r="4" spans="1:17" ht="24.75" customHeight="1" thickBot="1" x14ac:dyDescent="0.25">
      <c r="B4" s="121"/>
      <c r="C4" s="46"/>
      <c r="D4" s="46"/>
      <c r="E4" s="76"/>
      <c r="F4" s="76"/>
      <c r="G4" s="76"/>
      <c r="H4" s="76"/>
      <c r="I4" s="76"/>
      <c r="J4" s="213" t="s">
        <v>73</v>
      </c>
      <c r="K4" s="369" t="s">
        <v>75</v>
      </c>
      <c r="L4" s="370"/>
    </row>
    <row r="5" spans="1:17" ht="13.5" customHeight="1" x14ac:dyDescent="0.25">
      <c r="B5" s="371" t="s">
        <v>1</v>
      </c>
      <c r="C5" s="373" t="s">
        <v>2</v>
      </c>
      <c r="D5" s="373" t="s">
        <v>3</v>
      </c>
      <c r="E5" s="375" t="s">
        <v>141</v>
      </c>
      <c r="F5" s="375"/>
      <c r="G5" s="375" t="s">
        <v>0</v>
      </c>
      <c r="H5" s="375"/>
      <c r="I5" s="344" t="s">
        <v>69</v>
      </c>
      <c r="J5" s="346" t="s">
        <v>74</v>
      </c>
      <c r="K5" s="326" t="s">
        <v>71</v>
      </c>
      <c r="L5" s="305" t="s">
        <v>72</v>
      </c>
    </row>
    <row r="6" spans="1:17" ht="36" customHeight="1" thickBot="1" x14ac:dyDescent="0.25">
      <c r="B6" s="372"/>
      <c r="C6" s="374"/>
      <c r="D6" s="374"/>
      <c r="E6" s="214" t="s">
        <v>4</v>
      </c>
      <c r="F6" s="215" t="s">
        <v>5</v>
      </c>
      <c r="G6" s="214" t="s">
        <v>4</v>
      </c>
      <c r="H6" s="215" t="s">
        <v>5</v>
      </c>
      <c r="I6" s="345"/>
      <c r="J6" s="347"/>
      <c r="K6" s="327"/>
      <c r="L6" s="306"/>
    </row>
    <row r="7" spans="1:17" ht="35.25" customHeight="1" x14ac:dyDescent="0.3">
      <c r="A7" s="124"/>
      <c r="B7" s="75">
        <v>1</v>
      </c>
      <c r="C7" s="216" t="s">
        <v>6</v>
      </c>
      <c r="D7" s="15" t="s">
        <v>79</v>
      </c>
      <c r="E7" s="217">
        <v>351.65</v>
      </c>
      <c r="F7" s="217">
        <v>271.47000000000003</v>
      </c>
      <c r="G7" s="217">
        <v>217.56</v>
      </c>
      <c r="H7" s="218">
        <v>152.63</v>
      </c>
      <c r="I7" s="161">
        <f>H7/G7*10</f>
        <v>7.0155359441073726</v>
      </c>
      <c r="J7" s="161"/>
      <c r="K7" s="37">
        <v>2.27</v>
      </c>
      <c r="L7" s="30"/>
      <c r="Q7" t="s">
        <v>142</v>
      </c>
    </row>
    <row r="8" spans="1:17" ht="35.25" customHeight="1" x14ac:dyDescent="0.3">
      <c r="A8" s="124"/>
      <c r="B8" s="75">
        <v>2</v>
      </c>
      <c r="C8" s="216" t="s">
        <v>82</v>
      </c>
      <c r="D8" s="15" t="s">
        <v>80</v>
      </c>
      <c r="E8" s="217"/>
      <c r="F8" s="217"/>
      <c r="G8" s="217">
        <v>13.91</v>
      </c>
      <c r="H8" s="218">
        <v>6.9</v>
      </c>
      <c r="I8" s="161">
        <f>H8/G8*10</f>
        <v>4.9604601006470164</v>
      </c>
      <c r="J8" s="161">
        <v>-29.27</v>
      </c>
      <c r="K8" s="37">
        <v>-27.66</v>
      </c>
      <c r="L8" s="30"/>
    </row>
    <row r="9" spans="1:17" ht="35.25" customHeight="1" x14ac:dyDescent="0.3">
      <c r="A9" s="128"/>
      <c r="B9" s="71">
        <v>3</v>
      </c>
      <c r="C9" s="4" t="s">
        <v>7</v>
      </c>
      <c r="D9" s="4" t="s">
        <v>88</v>
      </c>
      <c r="E9" s="219">
        <v>915.06</v>
      </c>
      <c r="F9" s="132">
        <v>752.17</v>
      </c>
      <c r="G9" s="219">
        <v>914.65</v>
      </c>
      <c r="H9" s="220">
        <v>644.30999999999995</v>
      </c>
      <c r="I9" s="165">
        <f t="shared" ref="I9:I40" si="0">H9/G9*10</f>
        <v>7.0443338982124306</v>
      </c>
      <c r="J9" s="221">
        <v>0.41</v>
      </c>
      <c r="K9" s="36">
        <v>2.69</v>
      </c>
      <c r="L9" s="26"/>
    </row>
    <row r="10" spans="1:17" ht="30" customHeight="1" x14ac:dyDescent="0.3">
      <c r="A10" s="128"/>
      <c r="B10" s="71">
        <v>4</v>
      </c>
      <c r="C10" s="4" t="s">
        <v>8</v>
      </c>
      <c r="D10" s="4" t="s">
        <v>89</v>
      </c>
      <c r="E10" s="84">
        <v>332.64</v>
      </c>
      <c r="F10" s="219">
        <v>255.64</v>
      </c>
      <c r="G10" s="132">
        <v>332.48</v>
      </c>
      <c r="H10" s="220">
        <v>237.18</v>
      </c>
      <c r="I10" s="165">
        <f t="shared" si="0"/>
        <v>7.1336621751684319</v>
      </c>
      <c r="J10" s="221">
        <v>1.89</v>
      </c>
      <c r="K10" s="36">
        <v>3.99</v>
      </c>
      <c r="L10" s="26"/>
    </row>
    <row r="11" spans="1:17" ht="33.75" x14ac:dyDescent="0.3">
      <c r="A11" s="128"/>
      <c r="B11" s="71">
        <v>5</v>
      </c>
      <c r="C11" s="4" t="s">
        <v>10</v>
      </c>
      <c r="D11" s="4" t="s">
        <v>90</v>
      </c>
      <c r="E11" s="219">
        <v>12.75</v>
      </c>
      <c r="F11" s="132">
        <v>9.4499999999999993</v>
      </c>
      <c r="G11" s="219">
        <v>12.82</v>
      </c>
      <c r="H11" s="220">
        <v>10.5</v>
      </c>
      <c r="I11" s="165">
        <f t="shared" si="0"/>
        <v>8.1903276131045253</v>
      </c>
      <c r="J11" s="221">
        <v>16.809999999999999</v>
      </c>
      <c r="K11" s="36">
        <v>19.45</v>
      </c>
      <c r="L11" s="26"/>
    </row>
    <row r="12" spans="1:17" ht="33.75" x14ac:dyDescent="0.3">
      <c r="A12" s="128"/>
      <c r="B12" s="71">
        <v>6</v>
      </c>
      <c r="C12" s="4" t="s">
        <v>11</v>
      </c>
      <c r="D12" s="4" t="s">
        <v>91</v>
      </c>
      <c r="E12" s="219">
        <v>2.36</v>
      </c>
      <c r="F12" s="219">
        <v>2.19</v>
      </c>
      <c r="G12" s="219">
        <v>2.37</v>
      </c>
      <c r="H12" s="220">
        <v>1.89</v>
      </c>
      <c r="I12" s="165">
        <f t="shared" si="0"/>
        <v>7.9746835443037964</v>
      </c>
      <c r="J12" s="221">
        <v>13.72</v>
      </c>
      <c r="K12" s="36">
        <v>16.3</v>
      </c>
      <c r="L12" s="26"/>
    </row>
    <row r="13" spans="1:17" ht="33.75" x14ac:dyDescent="0.3">
      <c r="A13" s="128"/>
      <c r="B13" s="71">
        <v>7</v>
      </c>
      <c r="C13" s="4" t="s">
        <v>13</v>
      </c>
      <c r="D13" s="4" t="s">
        <v>92</v>
      </c>
      <c r="E13" s="219">
        <v>270.35000000000002</v>
      </c>
      <c r="F13" s="219">
        <v>281.13</v>
      </c>
      <c r="G13" s="219">
        <v>261.49</v>
      </c>
      <c r="H13" s="220">
        <v>256.18</v>
      </c>
      <c r="I13" s="165">
        <f t="shared" si="0"/>
        <v>9.7969329611074993</v>
      </c>
      <c r="J13" s="36">
        <v>39.64</v>
      </c>
      <c r="K13" s="36">
        <v>42.81</v>
      </c>
      <c r="L13" s="26"/>
    </row>
    <row r="14" spans="1:17" ht="26.25" customHeight="1" x14ac:dyDescent="0.3">
      <c r="A14" s="128"/>
      <c r="B14" s="71">
        <v>8</v>
      </c>
      <c r="C14" s="4" t="s">
        <v>14</v>
      </c>
      <c r="D14" s="4" t="s">
        <v>93</v>
      </c>
      <c r="E14" s="219">
        <v>95.43</v>
      </c>
      <c r="F14" s="132">
        <v>99.09</v>
      </c>
      <c r="G14" s="219">
        <v>92.31</v>
      </c>
      <c r="H14" s="220">
        <v>82.8</v>
      </c>
      <c r="I14" s="165">
        <f t="shared" si="0"/>
        <v>8.9697757556061095</v>
      </c>
      <c r="J14" s="221">
        <v>27.86</v>
      </c>
      <c r="K14" s="36">
        <v>30.76</v>
      </c>
      <c r="L14" s="26"/>
    </row>
    <row r="15" spans="1:17" ht="14.25" x14ac:dyDescent="0.3">
      <c r="A15" s="128"/>
      <c r="B15" s="71">
        <v>9</v>
      </c>
      <c r="C15" s="4" t="s">
        <v>94</v>
      </c>
      <c r="D15" s="4" t="s">
        <v>40</v>
      </c>
      <c r="E15" s="222">
        <v>3469.28</v>
      </c>
      <c r="F15" s="219">
        <v>2506.4</v>
      </c>
      <c r="G15" s="219">
        <v>3407.35</v>
      </c>
      <c r="H15" s="219">
        <v>2020.56</v>
      </c>
      <c r="I15" s="165">
        <f t="shared" si="0"/>
        <v>5.9300042555064794</v>
      </c>
      <c r="J15" s="36">
        <v>-15.47</v>
      </c>
      <c r="K15" s="36">
        <v>-13.56</v>
      </c>
      <c r="L15" s="26"/>
    </row>
    <row r="16" spans="1:17" ht="14.25" x14ac:dyDescent="0.3">
      <c r="A16" s="128"/>
      <c r="B16" s="71">
        <v>10</v>
      </c>
      <c r="C16" s="4" t="s">
        <v>17</v>
      </c>
      <c r="D16" s="4" t="s">
        <v>18</v>
      </c>
      <c r="E16" s="219">
        <v>1.46</v>
      </c>
      <c r="F16" s="132">
        <v>0.62</v>
      </c>
      <c r="G16" s="219">
        <v>2</v>
      </c>
      <c r="H16" s="220">
        <v>2.94</v>
      </c>
      <c r="I16" s="165">
        <f t="shared" si="0"/>
        <v>14.7</v>
      </c>
      <c r="J16" s="221">
        <v>109.38</v>
      </c>
      <c r="K16" s="36">
        <v>114.12</v>
      </c>
      <c r="L16" s="26"/>
    </row>
    <row r="17" spans="1:14" ht="33.75" x14ac:dyDescent="0.3">
      <c r="A17" s="128"/>
      <c r="B17" s="71">
        <v>11</v>
      </c>
      <c r="C17" s="4" t="s">
        <v>54</v>
      </c>
      <c r="D17" s="4" t="s">
        <v>95</v>
      </c>
      <c r="E17" s="219">
        <v>0.33</v>
      </c>
      <c r="F17" s="132">
        <v>0.34</v>
      </c>
      <c r="G17" s="132">
        <v>0.96</v>
      </c>
      <c r="H17" s="220">
        <v>0.49</v>
      </c>
      <c r="I17" s="165">
        <f t="shared" si="0"/>
        <v>5.1041666666666661</v>
      </c>
      <c r="J17" s="221">
        <v>-27.96</v>
      </c>
      <c r="K17" s="36">
        <v>-26.33</v>
      </c>
      <c r="L17" s="26"/>
    </row>
    <row r="18" spans="1:14" ht="33.75" x14ac:dyDescent="0.3">
      <c r="A18" s="128"/>
      <c r="B18" s="71">
        <v>12</v>
      </c>
      <c r="C18" s="4" t="s">
        <v>55</v>
      </c>
      <c r="D18" s="4" t="s">
        <v>96</v>
      </c>
      <c r="E18" s="219">
        <v>0.61</v>
      </c>
      <c r="F18" s="219">
        <v>0.27</v>
      </c>
      <c r="G18" s="36">
        <v>0.17</v>
      </c>
      <c r="H18" s="219">
        <v>0.14000000000000001</v>
      </c>
      <c r="I18" s="165">
        <f t="shared" si="0"/>
        <v>8.2352941176470598</v>
      </c>
      <c r="J18" s="36">
        <v>15.77</v>
      </c>
      <c r="K18" s="77">
        <v>18.399999999999999</v>
      </c>
      <c r="L18" s="26"/>
      <c r="N18" s="127">
        <f>0.53-0.25</f>
        <v>0.28000000000000003</v>
      </c>
    </row>
    <row r="19" spans="1:14" ht="12.75" customHeight="1" x14ac:dyDescent="0.3">
      <c r="A19" s="128"/>
      <c r="B19" s="71">
        <v>13</v>
      </c>
      <c r="C19" s="4" t="s">
        <v>19</v>
      </c>
      <c r="D19" s="4" t="s">
        <v>98</v>
      </c>
      <c r="E19" s="219">
        <v>123.71</v>
      </c>
      <c r="F19" s="132">
        <v>104.05</v>
      </c>
      <c r="G19" s="219">
        <v>115.28</v>
      </c>
      <c r="H19" s="220">
        <v>118.55</v>
      </c>
      <c r="I19" s="165">
        <f t="shared" si="0"/>
        <v>10.283657182512144</v>
      </c>
      <c r="J19" s="36">
        <v>46.59</v>
      </c>
      <c r="K19" s="36">
        <v>49.91</v>
      </c>
      <c r="L19" s="26"/>
    </row>
    <row r="20" spans="1:14" ht="12.75" customHeight="1" x14ac:dyDescent="0.3">
      <c r="A20" s="128"/>
      <c r="B20" s="71">
        <v>14</v>
      </c>
      <c r="C20" s="4" t="s">
        <v>99</v>
      </c>
      <c r="D20" s="4" t="s">
        <v>98</v>
      </c>
      <c r="E20" s="219">
        <v>60.08</v>
      </c>
      <c r="F20" s="132">
        <v>59.94</v>
      </c>
      <c r="G20" s="132">
        <v>55.98</v>
      </c>
      <c r="H20" s="220">
        <v>50.97</v>
      </c>
      <c r="I20" s="165">
        <f t="shared" si="0"/>
        <v>9.105037513397642</v>
      </c>
      <c r="J20" s="36">
        <v>29.77</v>
      </c>
      <c r="K20" s="77">
        <v>32.71</v>
      </c>
      <c r="L20" s="26"/>
    </row>
    <row r="21" spans="1:14" ht="14.25" x14ac:dyDescent="0.3">
      <c r="A21" s="128"/>
      <c r="B21" s="71">
        <v>15</v>
      </c>
      <c r="C21" s="4" t="s">
        <v>21</v>
      </c>
      <c r="D21" s="4" t="s">
        <v>22</v>
      </c>
      <c r="E21" s="36">
        <v>349.07</v>
      </c>
      <c r="F21" s="219">
        <v>203.31</v>
      </c>
      <c r="G21" s="219">
        <v>377.97</v>
      </c>
      <c r="H21" s="220">
        <v>187.8</v>
      </c>
      <c r="I21" s="165">
        <f t="shared" si="0"/>
        <v>4.9686483054210653</v>
      </c>
      <c r="J21" s="221">
        <v>-29.18</v>
      </c>
      <c r="K21" s="36">
        <v>-27.57</v>
      </c>
      <c r="L21" s="26"/>
    </row>
    <row r="22" spans="1:14" ht="14.25" x14ac:dyDescent="0.3">
      <c r="A22" s="128"/>
      <c r="B22" s="132">
        <v>16</v>
      </c>
      <c r="C22" s="4" t="s">
        <v>21</v>
      </c>
      <c r="D22" s="4" t="s">
        <v>23</v>
      </c>
      <c r="E22" s="36">
        <v>277.91000000000003</v>
      </c>
      <c r="F22" s="219">
        <v>198.61</v>
      </c>
      <c r="G22" s="219">
        <v>277.91000000000003</v>
      </c>
      <c r="H22" s="220">
        <v>184.43</v>
      </c>
      <c r="I22" s="165">
        <f t="shared" si="0"/>
        <v>6.6363211111510925</v>
      </c>
      <c r="J22" s="221">
        <v>-5.4</v>
      </c>
      <c r="K22" s="36">
        <v>-3.26</v>
      </c>
      <c r="L22" s="36"/>
    </row>
    <row r="23" spans="1:14" ht="14.25" x14ac:dyDescent="0.3">
      <c r="A23" s="131"/>
      <c r="B23" s="132">
        <v>17</v>
      </c>
      <c r="C23" s="4" t="s">
        <v>77</v>
      </c>
      <c r="D23" s="4" t="s">
        <v>24</v>
      </c>
      <c r="E23" s="36">
        <v>21.09</v>
      </c>
      <c r="F23" s="132">
        <v>23.79</v>
      </c>
      <c r="G23" s="219">
        <v>21.09</v>
      </c>
      <c r="H23" s="220">
        <v>29.18</v>
      </c>
      <c r="I23" s="165">
        <f t="shared" si="0"/>
        <v>13.835941204362257</v>
      </c>
      <c r="J23" s="221">
        <v>97.21</v>
      </c>
      <c r="K23" s="36">
        <v>101.68</v>
      </c>
      <c r="L23" s="36"/>
    </row>
    <row r="24" spans="1:14" ht="24" customHeight="1" x14ac:dyDescent="0.3">
      <c r="A24" s="46"/>
      <c r="B24" s="132">
        <v>18</v>
      </c>
      <c r="C24" s="4" t="s">
        <v>78</v>
      </c>
      <c r="D24" s="4" t="s">
        <v>76</v>
      </c>
      <c r="E24" s="36">
        <v>0</v>
      </c>
      <c r="F24" s="219">
        <v>0</v>
      </c>
      <c r="G24" s="219">
        <v>0</v>
      </c>
      <c r="H24" s="220">
        <v>0</v>
      </c>
      <c r="I24" s="165">
        <v>0</v>
      </c>
      <c r="J24" s="36">
        <v>0</v>
      </c>
      <c r="K24" s="36">
        <v>0</v>
      </c>
      <c r="L24" s="36"/>
    </row>
    <row r="25" spans="1:14" ht="14.25" thickBot="1" x14ac:dyDescent="0.3">
      <c r="B25" s="223"/>
      <c r="C25" s="378" t="s">
        <v>25</v>
      </c>
      <c r="D25" s="379"/>
      <c r="E25" s="81">
        <f>SUM(E7:E24)</f>
        <v>6283.78</v>
      </c>
      <c r="F25" s="81">
        <f>SUM(F7:F24)+0.01</f>
        <v>4768.4800000000005</v>
      </c>
      <c r="G25" s="224">
        <f>SUM(G7:G24)-0.01</f>
        <v>6106.2899999999991</v>
      </c>
      <c r="H25" s="224">
        <f>SUM(H7:H24)-0.01</f>
        <v>3987.4399999999991</v>
      </c>
      <c r="I25" s="178">
        <f t="shared" si="0"/>
        <v>6.5300534367021541</v>
      </c>
      <c r="J25" s="224">
        <v>-6.92</v>
      </c>
      <c r="K25" s="81">
        <v>-4.6100000000000003</v>
      </c>
      <c r="L25" s="225"/>
      <c r="M25" s="8">
        <f>3156.03-F25</f>
        <v>-1612.4500000000003</v>
      </c>
      <c r="N25" s="8"/>
    </row>
    <row r="26" spans="1:14" ht="14.25" x14ac:dyDescent="0.3">
      <c r="B26" s="71">
        <v>1</v>
      </c>
      <c r="C26" s="6" t="s">
        <v>26</v>
      </c>
      <c r="D26" s="6" t="s">
        <v>27</v>
      </c>
      <c r="E26" s="37">
        <v>131.1</v>
      </c>
      <c r="F26" s="217">
        <v>87.68</v>
      </c>
      <c r="G26" s="217">
        <v>131.1</v>
      </c>
      <c r="H26" s="218">
        <v>77.22</v>
      </c>
      <c r="I26" s="161">
        <f t="shared" si="0"/>
        <v>5.8901601830663619</v>
      </c>
      <c r="J26" s="226">
        <v>-16.04</v>
      </c>
      <c r="K26" s="37">
        <v>-6.94</v>
      </c>
      <c r="L26" s="30">
        <v>-2.48</v>
      </c>
    </row>
    <row r="27" spans="1:14" ht="14.25" x14ac:dyDescent="0.3">
      <c r="B27" s="71">
        <v>2</v>
      </c>
      <c r="C27" s="4" t="s">
        <v>101</v>
      </c>
      <c r="D27" s="4" t="s">
        <v>102</v>
      </c>
      <c r="E27" s="36">
        <v>989.53</v>
      </c>
      <c r="F27" s="219">
        <v>887.3</v>
      </c>
      <c r="G27" s="219">
        <v>982.38</v>
      </c>
      <c r="H27" s="220">
        <v>817.69</v>
      </c>
      <c r="I27" s="165">
        <f t="shared" si="0"/>
        <v>8.3235611474174966</v>
      </c>
      <c r="J27" s="36">
        <v>18.850000000000001</v>
      </c>
      <c r="K27" s="36">
        <v>31.49</v>
      </c>
      <c r="L27" s="26">
        <v>37.81</v>
      </c>
    </row>
    <row r="28" spans="1:14" ht="12.75" customHeight="1" x14ac:dyDescent="0.3">
      <c r="B28" s="71">
        <v>3</v>
      </c>
      <c r="C28" s="4" t="s">
        <v>103</v>
      </c>
      <c r="D28" s="4" t="s">
        <v>104</v>
      </c>
      <c r="E28" s="36">
        <v>73.83</v>
      </c>
      <c r="F28" s="219">
        <v>77.66</v>
      </c>
      <c r="G28" s="219">
        <v>73.83</v>
      </c>
      <c r="H28" s="220">
        <v>77.790000000000006</v>
      </c>
      <c r="I28" s="165">
        <f t="shared" si="0"/>
        <v>10.536367330353515</v>
      </c>
      <c r="J28" s="36">
        <v>50.18</v>
      </c>
      <c r="K28" s="36">
        <v>66.45</v>
      </c>
      <c r="L28" s="26">
        <v>74.44</v>
      </c>
      <c r="N28" s="8"/>
    </row>
    <row r="29" spans="1:14" ht="23.25" customHeight="1" x14ac:dyDescent="0.3">
      <c r="B29" s="71">
        <v>4</v>
      </c>
      <c r="C29" s="4" t="s">
        <v>126</v>
      </c>
      <c r="D29" s="13" t="s">
        <v>67</v>
      </c>
      <c r="E29" s="36">
        <v>37.5</v>
      </c>
      <c r="F29" s="219">
        <v>14.91</v>
      </c>
      <c r="G29" s="219">
        <v>20.93</v>
      </c>
      <c r="H29" s="220">
        <v>19.5</v>
      </c>
      <c r="I29" s="165">
        <f t="shared" si="0"/>
        <v>9.316770186335404</v>
      </c>
      <c r="J29" s="36">
        <v>32.83</v>
      </c>
      <c r="K29" s="36">
        <v>47.21</v>
      </c>
      <c r="L29" s="26">
        <v>54.28</v>
      </c>
      <c r="N29" s="8"/>
    </row>
    <row r="30" spans="1:14" ht="33.75" x14ac:dyDescent="0.3">
      <c r="B30" s="71">
        <v>5</v>
      </c>
      <c r="C30" s="4" t="s">
        <v>127</v>
      </c>
      <c r="D30" s="13" t="s">
        <v>68</v>
      </c>
      <c r="E30" s="36">
        <v>0</v>
      </c>
      <c r="F30" s="219">
        <v>0</v>
      </c>
      <c r="G30" s="219">
        <v>13.43</v>
      </c>
      <c r="H30" s="220">
        <v>18.600000000000001</v>
      </c>
      <c r="I30" s="165">
        <f t="shared" si="0"/>
        <v>13.849590469099034</v>
      </c>
      <c r="J30" s="36"/>
      <c r="K30" s="36">
        <v>118.71</v>
      </c>
      <c r="L30" s="26">
        <v>129.21</v>
      </c>
      <c r="N30" s="8"/>
    </row>
    <row r="31" spans="1:14" ht="37.5" customHeight="1" x14ac:dyDescent="0.3">
      <c r="B31" s="71">
        <v>6</v>
      </c>
      <c r="C31" s="4" t="s">
        <v>30</v>
      </c>
      <c r="D31" s="4" t="s">
        <v>107</v>
      </c>
      <c r="E31" s="219">
        <v>74.459999999999994</v>
      </c>
      <c r="F31" s="219">
        <v>25.91</v>
      </c>
      <c r="G31" s="219">
        <v>101.96</v>
      </c>
      <c r="H31" s="220">
        <v>28.04</v>
      </c>
      <c r="I31" s="165">
        <f t="shared" si="0"/>
        <v>2.7500980776775208</v>
      </c>
      <c r="J31" s="221">
        <v>-80.8</v>
      </c>
      <c r="K31" s="36">
        <v>-56.56</v>
      </c>
      <c r="L31" s="26">
        <v>-54.47</v>
      </c>
    </row>
    <row r="32" spans="1:14" ht="36.75" customHeight="1" x14ac:dyDescent="0.3">
      <c r="B32" s="71">
        <v>7</v>
      </c>
      <c r="C32" s="4" t="s">
        <v>31</v>
      </c>
      <c r="D32" s="4" t="s">
        <v>108</v>
      </c>
      <c r="E32" s="219">
        <v>9.36</v>
      </c>
      <c r="F32" s="219">
        <v>7.67</v>
      </c>
      <c r="G32" s="219">
        <v>12.82</v>
      </c>
      <c r="H32" s="220">
        <v>8.2799999999999994</v>
      </c>
      <c r="I32" s="165">
        <f t="shared" si="0"/>
        <v>6.4586583463338529</v>
      </c>
      <c r="J32" s="36">
        <v>-7.9</v>
      </c>
      <c r="K32" s="36">
        <v>2.0699999999999998</v>
      </c>
      <c r="L32" s="26">
        <v>6.97</v>
      </c>
    </row>
    <row r="33" spans="2:12" ht="25.5" customHeight="1" x14ac:dyDescent="0.3">
      <c r="B33" s="71">
        <v>8</v>
      </c>
      <c r="C33" s="4" t="s">
        <v>37</v>
      </c>
      <c r="D33" s="4" t="s">
        <v>109</v>
      </c>
      <c r="E33" s="219">
        <v>0</v>
      </c>
      <c r="F33" s="219">
        <v>0</v>
      </c>
      <c r="G33" s="219">
        <v>0</v>
      </c>
      <c r="H33" s="220">
        <v>0</v>
      </c>
      <c r="I33" s="165">
        <v>0</v>
      </c>
      <c r="J33" s="36">
        <v>0</v>
      </c>
      <c r="K33" s="36">
        <v>0</v>
      </c>
      <c r="L33" s="26">
        <v>0</v>
      </c>
    </row>
    <row r="34" spans="2:12" ht="48.75" customHeight="1" x14ac:dyDescent="0.3">
      <c r="B34" s="71">
        <v>9</v>
      </c>
      <c r="C34" s="4" t="s">
        <v>32</v>
      </c>
      <c r="D34" s="13" t="s">
        <v>56</v>
      </c>
      <c r="E34" s="219">
        <v>0</v>
      </c>
      <c r="F34" s="219">
        <v>0</v>
      </c>
      <c r="G34" s="219">
        <v>0</v>
      </c>
      <c r="H34" s="220">
        <v>0</v>
      </c>
      <c r="I34" s="165">
        <v>0</v>
      </c>
      <c r="J34" s="36">
        <v>0</v>
      </c>
      <c r="K34" s="36">
        <v>0</v>
      </c>
      <c r="L34" s="26">
        <v>0</v>
      </c>
    </row>
    <row r="35" spans="2:12" ht="14.25" customHeight="1" x14ac:dyDescent="0.3">
      <c r="B35" s="71">
        <v>10</v>
      </c>
      <c r="C35" s="4" t="s">
        <v>110</v>
      </c>
      <c r="D35" s="13" t="s">
        <v>111</v>
      </c>
      <c r="E35" s="227">
        <v>12.75</v>
      </c>
      <c r="F35" s="219">
        <v>9.82</v>
      </c>
      <c r="G35" s="219">
        <v>14.29</v>
      </c>
      <c r="H35" s="220">
        <v>10.14</v>
      </c>
      <c r="I35" s="165">
        <f t="shared" si="0"/>
        <v>7.0958712386284128</v>
      </c>
      <c r="J35" s="221">
        <v>1.1200000000000001</v>
      </c>
      <c r="K35" s="36">
        <v>12.07</v>
      </c>
      <c r="L35" s="26">
        <v>17.45</v>
      </c>
    </row>
    <row r="36" spans="2:12" ht="15" thickBot="1" x14ac:dyDescent="0.35">
      <c r="B36" s="71">
        <v>11</v>
      </c>
      <c r="C36" s="5" t="s">
        <v>63</v>
      </c>
      <c r="D36" s="86" t="s">
        <v>24</v>
      </c>
      <c r="E36" s="228">
        <v>24.2</v>
      </c>
      <c r="F36" s="228">
        <v>31.98</v>
      </c>
      <c r="G36" s="228">
        <v>24.2</v>
      </c>
      <c r="H36" s="229">
        <v>27.49</v>
      </c>
      <c r="I36" s="183">
        <f t="shared" si="0"/>
        <v>11.359504132231404</v>
      </c>
      <c r="J36" s="230">
        <v>61.89</v>
      </c>
      <c r="K36" s="51">
        <v>79.42</v>
      </c>
      <c r="L36" s="39">
        <v>88.04</v>
      </c>
    </row>
    <row r="37" spans="2:12" ht="15" thickBot="1" x14ac:dyDescent="0.35">
      <c r="B37" s="231"/>
      <c r="C37" s="376" t="s">
        <v>34</v>
      </c>
      <c r="D37" s="377"/>
      <c r="E37" s="232">
        <f>SUM(E26:E36)</f>
        <v>1352.7299999999998</v>
      </c>
      <c r="F37" s="232">
        <f>SUM(F26:F36)</f>
        <v>1142.9300000000003</v>
      </c>
      <c r="G37" s="232">
        <f>SUM(G26:G36)</f>
        <v>1374.94</v>
      </c>
      <c r="H37" s="232">
        <f>SUM(H26:H36)-0.01</f>
        <v>1084.7400000000002</v>
      </c>
      <c r="I37" s="188">
        <f t="shared" si="0"/>
        <v>7.8893624449066877</v>
      </c>
      <c r="J37" s="140">
        <v>12.48</v>
      </c>
      <c r="K37" s="41">
        <v>24.63</v>
      </c>
      <c r="L37" s="42">
        <v>30.62</v>
      </c>
    </row>
    <row r="38" spans="2:12" ht="15" thickBot="1" x14ac:dyDescent="0.35">
      <c r="B38" s="231"/>
      <c r="C38" s="378" t="s">
        <v>35</v>
      </c>
      <c r="D38" s="379"/>
      <c r="E38" s="224">
        <f>E37+E25</f>
        <v>7636.5099999999993</v>
      </c>
      <c r="F38" s="224">
        <f>F37+F25</f>
        <v>5911.4100000000008</v>
      </c>
      <c r="G38" s="224">
        <f>G37+G25</f>
        <v>7481.23</v>
      </c>
      <c r="H38" s="224">
        <f>H37+H25</f>
        <v>5072.1799999999994</v>
      </c>
      <c r="I38" s="178">
        <f t="shared" si="0"/>
        <v>6.7798744324128517</v>
      </c>
      <c r="J38" s="233">
        <v>-3.36</v>
      </c>
      <c r="K38" s="234">
        <v>7.11</v>
      </c>
      <c r="L38" s="235">
        <v>12.25</v>
      </c>
    </row>
    <row r="39" spans="2:12" ht="15" thickBot="1" x14ac:dyDescent="0.35">
      <c r="B39" s="71"/>
      <c r="C39" s="348" t="s">
        <v>39</v>
      </c>
      <c r="D39" s="348"/>
      <c r="E39" s="236"/>
      <c r="F39" s="237"/>
      <c r="G39" s="236"/>
      <c r="H39" s="238">
        <v>176.24</v>
      </c>
      <c r="I39" s="239"/>
      <c r="J39" s="146"/>
      <c r="K39" s="240"/>
      <c r="L39" s="241"/>
    </row>
    <row r="40" spans="2:12" ht="15" thickBot="1" x14ac:dyDescent="0.35">
      <c r="B40" s="242"/>
      <c r="C40" s="376" t="s">
        <v>36</v>
      </c>
      <c r="D40" s="377"/>
      <c r="E40" s="232">
        <f>E38</f>
        <v>7636.5099999999993</v>
      </c>
      <c r="F40" s="232">
        <f>F38+F39</f>
        <v>5911.4100000000008</v>
      </c>
      <c r="G40" s="232">
        <f>G38</f>
        <v>7481.23</v>
      </c>
      <c r="H40" s="243">
        <f>H39+H38</f>
        <v>5248.4199999999992</v>
      </c>
      <c r="I40" s="192">
        <f t="shared" si="0"/>
        <v>7.015450667871459</v>
      </c>
      <c r="J40" s="244">
        <v>0</v>
      </c>
      <c r="K40" s="245">
        <v>10.83</v>
      </c>
      <c r="L40" s="246">
        <v>16.149999999999999</v>
      </c>
    </row>
    <row r="41" spans="2:12" x14ac:dyDescent="0.2">
      <c r="B41" s="9"/>
      <c r="C41" s="113"/>
      <c r="D41" s="113"/>
      <c r="E41" s="14"/>
      <c r="F41" s="9"/>
      <c r="G41" s="14">
        <f>7481.23-G40</f>
        <v>0</v>
      </c>
      <c r="H41" s="9"/>
      <c r="I41" s="9"/>
    </row>
    <row r="42" spans="2:12" ht="14.25" x14ac:dyDescent="0.3">
      <c r="B42" s="247" t="s">
        <v>143</v>
      </c>
      <c r="C42" s="248"/>
      <c r="D42" s="248"/>
      <c r="E42" s="247"/>
      <c r="F42" s="247"/>
      <c r="G42" s="247"/>
      <c r="H42" s="247"/>
      <c r="I42" s="9"/>
    </row>
    <row r="43" spans="2:12" ht="14.25" x14ac:dyDescent="0.3">
      <c r="B43" s="247" t="s">
        <v>144</v>
      </c>
      <c r="C43" s="248"/>
      <c r="D43" s="248"/>
      <c r="E43" s="247"/>
      <c r="F43" s="247"/>
      <c r="G43" s="247"/>
      <c r="H43" s="127"/>
      <c r="I43" s="9"/>
      <c r="J43" s="8"/>
    </row>
    <row r="44" spans="2:12" ht="13.5" x14ac:dyDescent="0.25">
      <c r="B44" s="10" t="s">
        <v>145</v>
      </c>
      <c r="C44" s="10"/>
      <c r="D44" s="10"/>
      <c r="E44" s="10"/>
      <c r="F44" s="118"/>
      <c r="G44" s="148"/>
      <c r="I44" s="249"/>
      <c r="K44" s="250" t="s">
        <v>146</v>
      </c>
    </row>
    <row r="45" spans="2:12" x14ac:dyDescent="0.2">
      <c r="B45" s="118"/>
      <c r="C45" s="120"/>
      <c r="D45" s="120"/>
      <c r="E45" s="118"/>
      <c r="F45" s="118"/>
      <c r="G45" s="118"/>
      <c r="H45" s="118"/>
    </row>
    <row r="46" spans="2:12" x14ac:dyDescent="0.2">
      <c r="B46" s="118"/>
      <c r="C46" s="120"/>
      <c r="D46" s="120"/>
      <c r="E46" s="118"/>
      <c r="F46" s="118"/>
      <c r="G46" s="118"/>
      <c r="H46" s="118"/>
    </row>
    <row r="48" spans="2:12" hidden="1" x14ac:dyDescent="0.2">
      <c r="D48" t="s">
        <v>58</v>
      </c>
      <c r="E48" s="8">
        <f>H7+H9+H10+H35+H36</f>
        <v>1071.75</v>
      </c>
    </row>
    <row r="49" spans="4:5" hidden="1" x14ac:dyDescent="0.2">
      <c r="D49" t="s">
        <v>59</v>
      </c>
      <c r="E49" s="8">
        <f>H13+H14+H28</f>
        <v>416.77000000000004</v>
      </c>
    </row>
    <row r="50" spans="4:5" hidden="1" x14ac:dyDescent="0.2">
      <c r="D50" t="s">
        <v>60</v>
      </c>
      <c r="E50" s="8">
        <f>H19+H27</f>
        <v>936.24</v>
      </c>
    </row>
    <row r="51" spans="4:5" hidden="1" x14ac:dyDescent="0.2">
      <c r="D51" t="s">
        <v>61</v>
      </c>
      <c r="E51" s="8">
        <f>H15+H16+H17+H31+H32</f>
        <v>2060.3100000000004</v>
      </c>
    </row>
    <row r="52" spans="4:5" hidden="1" x14ac:dyDescent="0.2">
      <c r="D52" t="s">
        <v>62</v>
      </c>
      <c r="E52" s="8">
        <f>H40-E48-E49-E50-E51</f>
        <v>763.34999999999854</v>
      </c>
    </row>
    <row r="53" spans="4:5" hidden="1" x14ac:dyDescent="0.2">
      <c r="D53" t="s">
        <v>57</v>
      </c>
      <c r="E53" s="8">
        <f>SUM(E48:E52)</f>
        <v>5248.4199999999992</v>
      </c>
    </row>
  </sheetData>
  <mergeCells count="17">
    <mergeCell ref="C40:D40"/>
    <mergeCell ref="K5:K6"/>
    <mergeCell ref="L5:L6"/>
    <mergeCell ref="C25:D25"/>
    <mergeCell ref="C37:D37"/>
    <mergeCell ref="C38:D38"/>
    <mergeCell ref="C39:D39"/>
    <mergeCell ref="K2:L2"/>
    <mergeCell ref="B3:L3"/>
    <mergeCell ref="K4:L4"/>
    <mergeCell ref="B5:B6"/>
    <mergeCell ref="C5:C6"/>
    <mergeCell ref="D5:D6"/>
    <mergeCell ref="E5:F5"/>
    <mergeCell ref="G5:H5"/>
    <mergeCell ref="I5:I6"/>
    <mergeCell ref="J5:J6"/>
  </mergeCells>
  <pageMargins left="0.5" right="0" top="0.94" bottom="0.1" header="0.511811023622047" footer="0.511811023622047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Q57"/>
  <sheetViews>
    <sheetView topLeftCell="E1" zoomScale="120" zoomScaleNormal="120" workbookViewId="0">
      <selection activeCell="O43" sqref="O43"/>
    </sheetView>
  </sheetViews>
  <sheetFormatPr defaultRowHeight="11.25" x14ac:dyDescent="0.2"/>
  <cols>
    <col min="1" max="1" width="9.140625" style="9"/>
    <col min="2" max="2" width="6" style="9" customWidth="1"/>
    <col min="3" max="3" width="15.28515625" style="9" customWidth="1"/>
    <col min="4" max="4" width="32.28515625" style="9" customWidth="1"/>
    <col min="5" max="5" width="10.7109375" style="9" customWidth="1"/>
    <col min="6" max="6" width="11.28515625" style="9" customWidth="1"/>
    <col min="7" max="7" width="9.7109375" style="9" customWidth="1"/>
    <col min="8" max="8" width="11.42578125" style="9" customWidth="1"/>
    <col min="9" max="9" width="10.7109375" style="9" customWidth="1"/>
    <col min="10" max="10" width="9.85546875" style="9" customWidth="1"/>
    <col min="11" max="16384" width="9.140625" style="9"/>
  </cols>
  <sheetData>
    <row r="3" spans="1:17" ht="15.75" thickBot="1" x14ac:dyDescent="0.25">
      <c r="I3" s="382"/>
      <c r="J3" s="382"/>
      <c r="K3" s="382"/>
    </row>
    <row r="4" spans="1:17" ht="24.75" customHeight="1" thickBot="1" x14ac:dyDescent="0.25">
      <c r="B4" s="383" t="s">
        <v>149</v>
      </c>
      <c r="C4" s="384"/>
      <c r="D4" s="384"/>
      <c r="E4" s="384"/>
      <c r="F4" s="384"/>
      <c r="G4" s="384"/>
      <c r="H4" s="384"/>
      <c r="I4" s="384"/>
      <c r="J4" s="384"/>
      <c r="K4" s="384"/>
      <c r="L4" s="385"/>
    </row>
    <row r="5" spans="1:17" ht="26.25" customHeight="1" thickBot="1" x14ac:dyDescent="0.25">
      <c r="B5" s="29"/>
      <c r="C5" s="27"/>
      <c r="D5" s="27"/>
      <c r="E5" s="28"/>
      <c r="F5" s="28"/>
      <c r="G5" s="28"/>
      <c r="H5" s="28"/>
      <c r="I5" s="28"/>
      <c r="J5" s="35" t="s">
        <v>73</v>
      </c>
      <c r="K5" s="331" t="s">
        <v>75</v>
      </c>
      <c r="L5" s="332"/>
    </row>
    <row r="6" spans="1:17" ht="24.75" customHeight="1" x14ac:dyDescent="0.2">
      <c r="B6" s="316" t="s">
        <v>1</v>
      </c>
      <c r="C6" s="318" t="s">
        <v>2</v>
      </c>
      <c r="D6" s="318" t="s">
        <v>3</v>
      </c>
      <c r="E6" s="386" t="s">
        <v>150</v>
      </c>
      <c r="F6" s="386"/>
      <c r="G6" s="386" t="s">
        <v>0</v>
      </c>
      <c r="H6" s="387"/>
      <c r="I6" s="389" t="s">
        <v>69</v>
      </c>
      <c r="J6" s="324" t="s">
        <v>74</v>
      </c>
      <c r="K6" s="326" t="s">
        <v>71</v>
      </c>
      <c r="L6" s="305" t="s">
        <v>72</v>
      </c>
      <c r="M6" s="10"/>
    </row>
    <row r="7" spans="1:17" ht="50.25" customHeight="1" thickBot="1" x14ac:dyDescent="0.25">
      <c r="B7" s="317"/>
      <c r="C7" s="319"/>
      <c r="D7" s="319"/>
      <c r="E7" s="252" t="s">
        <v>4</v>
      </c>
      <c r="F7" s="25" t="s">
        <v>5</v>
      </c>
      <c r="G7" s="252" t="s">
        <v>4</v>
      </c>
      <c r="H7" s="25" t="s">
        <v>5</v>
      </c>
      <c r="I7" s="390"/>
      <c r="J7" s="325"/>
      <c r="K7" s="327"/>
      <c r="L7" s="306"/>
    </row>
    <row r="8" spans="1:17" ht="30" customHeight="1" x14ac:dyDescent="0.2">
      <c r="A8" s="2"/>
      <c r="B8" s="1">
        <v>1</v>
      </c>
      <c r="C8" s="2" t="s">
        <v>6</v>
      </c>
      <c r="D8" s="15" t="s">
        <v>79</v>
      </c>
      <c r="E8" s="16" t="e">
        <f>#REF!+MESCOM!E8+CESC!E8+HESCOM!E8+GESCOM!E7+HRECS!E8</f>
        <v>#REF!</v>
      </c>
      <c r="F8" s="16" t="e">
        <f>#REF!+MESCOM!F8+CESC!F8+HESCOM!F8+GESCOM!F7+HRECS!F8</f>
        <v>#REF!</v>
      </c>
      <c r="G8" s="16" t="e">
        <f>#REF!+MESCOM!G8+CESC!G8+HESCOM!G8+GESCOM!G7+HRECS!G8</f>
        <v>#REF!</v>
      </c>
      <c r="H8" s="16" t="e">
        <f>#REF!+MESCOM!H8+CESC!H8+HESCOM!H8+GESCOM!H7+HRECS!H8</f>
        <v>#REF!</v>
      </c>
      <c r="I8" s="20" t="e">
        <f>H8/G8*10</f>
        <v>#REF!</v>
      </c>
      <c r="J8" s="20"/>
      <c r="K8" s="37"/>
      <c r="L8" s="30"/>
      <c r="M8" s="14"/>
      <c r="N8" s="14"/>
    </row>
    <row r="9" spans="1:17" ht="30" customHeight="1" x14ac:dyDescent="0.2">
      <c r="A9" s="2"/>
      <c r="B9" s="1">
        <v>2</v>
      </c>
      <c r="C9" s="2" t="s">
        <v>82</v>
      </c>
      <c r="D9" s="15" t="s">
        <v>80</v>
      </c>
      <c r="E9" s="16" t="e">
        <f>#REF!+MESCOM!E9+CESC!E9+HESCOM!E9+GESCOM!E8+HRECS!E9</f>
        <v>#REF!</v>
      </c>
      <c r="F9" s="16" t="e">
        <f>#REF!+MESCOM!F9+CESC!F9+HESCOM!F9+GESCOM!F8+HRECS!F9</f>
        <v>#REF!</v>
      </c>
      <c r="G9" s="16" t="e">
        <f>#REF!+MESCOM!G9+CESC!G9+HESCOM!G9+GESCOM!G8+HRECS!G9</f>
        <v>#REF!</v>
      </c>
      <c r="H9" s="16" t="e">
        <f>#REF!+MESCOM!H9+CESC!H9+HESCOM!H9+GESCOM!H8+HRECS!H9</f>
        <v>#REF!</v>
      </c>
      <c r="I9" s="20" t="e">
        <f>H9/G9*10</f>
        <v>#REF!</v>
      </c>
      <c r="J9" s="20"/>
      <c r="K9" s="37"/>
      <c r="L9" s="30"/>
      <c r="M9" s="14"/>
    </row>
    <row r="10" spans="1:17" ht="45" x14ac:dyDescent="0.2">
      <c r="A10" s="4"/>
      <c r="B10" s="3">
        <v>3</v>
      </c>
      <c r="C10" s="4" t="s">
        <v>7</v>
      </c>
      <c r="D10" s="13" t="s">
        <v>42</v>
      </c>
      <c r="E10" s="16" t="e">
        <f>#REF!+MESCOM!E10+CESC!E10+HESCOM!E10+GESCOM!E9+HRECS!E10</f>
        <v>#REF!</v>
      </c>
      <c r="F10" s="16" t="e">
        <f>#REF!+MESCOM!F10+CESC!F10+HESCOM!F10+GESCOM!F9+HRECS!F10</f>
        <v>#REF!</v>
      </c>
      <c r="G10" s="16" t="e">
        <f>#REF!+MESCOM!G10+CESC!G10+HESCOM!G10+GESCOM!G9+HRECS!G10</f>
        <v>#REF!</v>
      </c>
      <c r="H10" s="16" t="e">
        <f>#REF!+MESCOM!H10+CESC!H10+HESCOM!H10+GESCOM!H9+HRECS!H10</f>
        <v>#REF!</v>
      </c>
      <c r="I10" s="19" t="e">
        <f t="shared" ref="I10:I41" si="0">H10/G10*10</f>
        <v>#REF!</v>
      </c>
      <c r="J10" s="19"/>
      <c r="K10" s="38"/>
      <c r="L10" s="26"/>
    </row>
    <row r="11" spans="1:17" ht="22.5" x14ac:dyDescent="0.2">
      <c r="A11" s="4"/>
      <c r="B11" s="3">
        <v>4</v>
      </c>
      <c r="C11" s="4" t="s">
        <v>8</v>
      </c>
      <c r="D11" s="13" t="s">
        <v>9</v>
      </c>
      <c r="E11" s="16" t="e">
        <f>#REF!+MESCOM!E11+CESC!E11+HESCOM!E11+GESCOM!E10+HRECS!E11</f>
        <v>#REF!</v>
      </c>
      <c r="F11" s="16" t="e">
        <f>#REF!+MESCOM!F11+CESC!F11+HESCOM!F11+GESCOM!F10+HRECS!F11</f>
        <v>#REF!</v>
      </c>
      <c r="G11" s="16" t="e">
        <f>#REF!+MESCOM!G11+CESC!G11+HESCOM!G11+GESCOM!G10+HRECS!G11</f>
        <v>#REF!</v>
      </c>
      <c r="H11" s="16" t="e">
        <f>#REF!+MESCOM!H11+CESC!H11+HESCOM!H11+GESCOM!H10+HRECS!H11</f>
        <v>#REF!</v>
      </c>
      <c r="I11" s="19" t="e">
        <f t="shared" si="0"/>
        <v>#REF!</v>
      </c>
      <c r="J11" s="19"/>
      <c r="K11" s="36"/>
      <c r="L11" s="26"/>
    </row>
    <row r="12" spans="1:17" ht="45" x14ac:dyDescent="0.2">
      <c r="A12" s="4"/>
      <c r="B12" s="3">
        <v>5</v>
      </c>
      <c r="C12" s="4" t="s">
        <v>10</v>
      </c>
      <c r="D12" s="13" t="s">
        <v>41</v>
      </c>
      <c r="E12" s="16" t="e">
        <f>#REF!+MESCOM!E12+CESC!E12+HESCOM!E12+GESCOM!E11+HRECS!E12</f>
        <v>#REF!</v>
      </c>
      <c r="F12" s="16" t="e">
        <f>#REF!+MESCOM!F12+CESC!F12+HESCOM!F12+GESCOM!F11+HRECS!F12</f>
        <v>#REF!</v>
      </c>
      <c r="G12" s="16" t="e">
        <f>#REF!+MESCOM!G12+CESC!G12+HESCOM!G12+GESCOM!G11+HRECS!G12</f>
        <v>#REF!</v>
      </c>
      <c r="H12" s="16" t="e">
        <f>#REF!+MESCOM!H12+CESC!H12+HESCOM!H12+GESCOM!H11+HRECS!H12</f>
        <v>#REF!</v>
      </c>
      <c r="I12" s="19" t="e">
        <f t="shared" si="0"/>
        <v>#REF!</v>
      </c>
      <c r="J12" s="19"/>
      <c r="K12" s="36"/>
      <c r="L12" s="26"/>
      <c r="Q12" s="9">
        <f>179.72+27.68+102.98+200.83+271.47</f>
        <v>782.68000000000006</v>
      </c>
    </row>
    <row r="13" spans="1:17" ht="22.5" x14ac:dyDescent="0.2">
      <c r="A13" s="4"/>
      <c r="B13" s="3">
        <v>6</v>
      </c>
      <c r="C13" s="4" t="s">
        <v>11</v>
      </c>
      <c r="D13" s="13" t="s">
        <v>12</v>
      </c>
      <c r="E13" s="16" t="e">
        <f>#REF!+MESCOM!E13+CESC!E13+HESCOM!E13+GESCOM!E12+HRECS!E13</f>
        <v>#REF!</v>
      </c>
      <c r="F13" s="16" t="e">
        <f>#REF!+MESCOM!F13+CESC!F13+HESCOM!F13+GESCOM!F12+HRECS!F13</f>
        <v>#REF!</v>
      </c>
      <c r="G13" s="16" t="e">
        <f>#REF!+MESCOM!G13+CESC!G13+HESCOM!G13+GESCOM!G12+HRECS!G13</f>
        <v>#REF!</v>
      </c>
      <c r="H13" s="16" t="e">
        <f>#REF!+MESCOM!H13+CESC!H13+HESCOM!H13+GESCOM!H12+HRECS!H13</f>
        <v>#REF!</v>
      </c>
      <c r="I13" s="19" t="e">
        <f t="shared" si="0"/>
        <v>#REF!</v>
      </c>
      <c r="J13" s="19"/>
      <c r="K13" s="36"/>
      <c r="L13" s="26"/>
    </row>
    <row r="14" spans="1:17" ht="45" x14ac:dyDescent="0.2">
      <c r="A14" s="4"/>
      <c r="B14" s="3">
        <v>7</v>
      </c>
      <c r="C14" s="4" t="s">
        <v>13</v>
      </c>
      <c r="D14" s="13" t="s">
        <v>43</v>
      </c>
      <c r="E14" s="16" t="e">
        <f>#REF!+MESCOM!E14+CESC!E14+HESCOM!E14+GESCOM!E13+HRECS!E14</f>
        <v>#REF!</v>
      </c>
      <c r="F14" s="16" t="e">
        <f>#REF!+MESCOM!F14+CESC!F14+HESCOM!F14+GESCOM!F13+HRECS!F14</f>
        <v>#REF!</v>
      </c>
      <c r="G14" s="16" t="e">
        <f>#REF!+MESCOM!G14+CESC!G14+HESCOM!G14+GESCOM!G13+HRECS!G14</f>
        <v>#REF!</v>
      </c>
      <c r="H14" s="16" t="e">
        <f>#REF!+MESCOM!H14+CESC!H14+HESCOM!H14+GESCOM!H13+HRECS!H14</f>
        <v>#REF!</v>
      </c>
      <c r="I14" s="19" t="e">
        <f t="shared" si="0"/>
        <v>#REF!</v>
      </c>
      <c r="J14" s="19"/>
      <c r="K14" s="36"/>
      <c r="L14" s="26"/>
    </row>
    <row r="15" spans="1:17" ht="22.5" x14ac:dyDescent="0.2">
      <c r="A15" s="4"/>
      <c r="B15" s="3">
        <v>8</v>
      </c>
      <c r="C15" s="4" t="s">
        <v>14</v>
      </c>
      <c r="D15" s="13" t="s">
        <v>15</v>
      </c>
      <c r="E15" s="16" t="e">
        <f>#REF!+MESCOM!E15+CESC!E15+HESCOM!E15+GESCOM!E14+HRECS!E15</f>
        <v>#REF!</v>
      </c>
      <c r="F15" s="16" t="e">
        <f>#REF!+MESCOM!F15+CESC!F15+HESCOM!F15+GESCOM!F14+HRECS!F15</f>
        <v>#REF!</v>
      </c>
      <c r="G15" s="16" t="e">
        <f>#REF!+MESCOM!G15+CESC!G15+HESCOM!G15+GESCOM!G14+HRECS!G15</f>
        <v>#REF!</v>
      </c>
      <c r="H15" s="16" t="e">
        <f>#REF!+MESCOM!H15+CESC!H15+HESCOM!H15+GESCOM!H14+HRECS!H15</f>
        <v>#REF!</v>
      </c>
      <c r="I15" s="19" t="e">
        <f t="shared" si="0"/>
        <v>#REF!</v>
      </c>
      <c r="J15" s="19"/>
      <c r="K15" s="36"/>
      <c r="L15" s="26"/>
    </row>
    <row r="16" spans="1:17" ht="21" customHeight="1" x14ac:dyDescent="0.2">
      <c r="A16" s="4"/>
      <c r="B16" s="3">
        <v>9</v>
      </c>
      <c r="C16" s="4" t="s">
        <v>16</v>
      </c>
      <c r="D16" s="13" t="s">
        <v>40</v>
      </c>
      <c r="E16" s="16" t="e">
        <f>#REF!+MESCOM!E16+CESC!E16+HESCOM!E16+GESCOM!E15+HRECS!E16</f>
        <v>#REF!</v>
      </c>
      <c r="F16" s="16" t="e">
        <f>#REF!+MESCOM!F16+CESC!F16+HESCOM!F16+GESCOM!F15+HRECS!F16</f>
        <v>#REF!</v>
      </c>
      <c r="G16" s="16" t="e">
        <f>#REF!+MESCOM!G16+CESC!G16+HESCOM!G16+GESCOM!G15+HRECS!G16</f>
        <v>#REF!</v>
      </c>
      <c r="H16" s="16" t="e">
        <f>#REF!+MESCOM!H16+CESC!H16+HESCOM!H16+GESCOM!H15+HRECS!H16</f>
        <v>#REF!</v>
      </c>
      <c r="I16" s="19" t="e">
        <f t="shared" si="0"/>
        <v>#REF!</v>
      </c>
      <c r="J16" s="19"/>
      <c r="K16" s="36"/>
      <c r="L16" s="26"/>
      <c r="N16" s="14" t="e">
        <f>#REF!+MESCOM!F16+CESC!F16+HESCOM!F16+GESCOM!F15</f>
        <v>#REF!</v>
      </c>
    </row>
    <row r="17" spans="1:16" ht="17.25" customHeight="1" x14ac:dyDescent="0.2">
      <c r="A17" s="4"/>
      <c r="B17" s="3">
        <v>10</v>
      </c>
      <c r="C17" s="4" t="s">
        <v>17</v>
      </c>
      <c r="D17" s="13" t="s">
        <v>18</v>
      </c>
      <c r="E17" s="16" t="e">
        <f>#REF!+MESCOM!E17+CESC!E17+HESCOM!E17+GESCOM!E16+HRECS!E17</f>
        <v>#REF!</v>
      </c>
      <c r="F17" s="16" t="e">
        <f>#REF!+MESCOM!F17+CESC!F17+HESCOM!F17+GESCOM!F16+HRECS!F17</f>
        <v>#REF!</v>
      </c>
      <c r="G17" s="16" t="e">
        <f>#REF!+MESCOM!G17+CESC!G17+HESCOM!G17+GESCOM!G16+HRECS!G17</f>
        <v>#REF!</v>
      </c>
      <c r="H17" s="16" t="e">
        <f>#REF!+MESCOM!H17+CESC!H17+HESCOM!H17+GESCOM!H16+HRECS!H17</f>
        <v>#REF!</v>
      </c>
      <c r="I17" s="19" t="e">
        <f t="shared" si="0"/>
        <v>#REF!</v>
      </c>
      <c r="J17" s="19"/>
      <c r="K17" s="36"/>
      <c r="L17" s="26"/>
    </row>
    <row r="18" spans="1:16" ht="25.9" customHeight="1" x14ac:dyDescent="0.2">
      <c r="A18" s="4"/>
      <c r="B18" s="3">
        <v>11</v>
      </c>
      <c r="C18" s="4" t="s">
        <v>54</v>
      </c>
      <c r="D18" s="13" t="s">
        <v>44</v>
      </c>
      <c r="E18" s="16" t="e">
        <f>#REF!+MESCOM!E18+CESC!E18+HESCOM!E18+GESCOM!E17+HRECS!E18</f>
        <v>#REF!</v>
      </c>
      <c r="F18" s="16" t="e">
        <f>#REF!+MESCOM!F18+CESC!F18+HESCOM!F18+GESCOM!F17+HRECS!F18</f>
        <v>#REF!</v>
      </c>
      <c r="G18" s="16" t="e">
        <f>#REF!+MESCOM!G18+CESC!G18+HESCOM!G18+GESCOM!G17+HRECS!G18</f>
        <v>#REF!</v>
      </c>
      <c r="H18" s="16" t="e">
        <f>#REF!+MESCOM!H18+CESC!H18+HESCOM!H18+GESCOM!H17+HRECS!H18</f>
        <v>#REF!</v>
      </c>
      <c r="I18" s="19" t="e">
        <f t="shared" si="0"/>
        <v>#REF!</v>
      </c>
      <c r="J18" s="19"/>
      <c r="K18" s="36"/>
      <c r="L18" s="26"/>
    </row>
    <row r="19" spans="1:16" ht="22.5" x14ac:dyDescent="0.2">
      <c r="A19" s="4"/>
      <c r="B19" s="3">
        <v>12</v>
      </c>
      <c r="C19" s="4" t="s">
        <v>55</v>
      </c>
      <c r="D19" s="13" t="s">
        <v>38</v>
      </c>
      <c r="E19" s="16" t="e">
        <f>#REF!+MESCOM!E19+CESC!E19+HESCOM!E19+GESCOM!E18+HRECS!E19</f>
        <v>#REF!</v>
      </c>
      <c r="F19" s="16" t="e">
        <f>#REF!+MESCOM!F19+CESC!F19+HESCOM!F19+GESCOM!F18+HRECS!F19</f>
        <v>#REF!</v>
      </c>
      <c r="G19" s="16" t="e">
        <f>#REF!+MESCOM!G19+CESC!G19+HESCOM!G19+GESCOM!G18+HRECS!G19</f>
        <v>#REF!</v>
      </c>
      <c r="H19" s="16" t="e">
        <f>#REF!+MESCOM!H19+CESC!H19+HESCOM!H19+GESCOM!H18+HRECS!H19</f>
        <v>#REF!</v>
      </c>
      <c r="I19" s="19" t="e">
        <f t="shared" si="0"/>
        <v>#REF!</v>
      </c>
      <c r="J19" s="19"/>
      <c r="K19" s="36"/>
      <c r="L19" s="26"/>
    </row>
    <row r="20" spans="1:16" ht="33" customHeight="1" x14ac:dyDescent="0.2">
      <c r="A20" s="4"/>
      <c r="B20" s="3">
        <v>13</v>
      </c>
      <c r="C20" s="4" t="s">
        <v>19</v>
      </c>
      <c r="D20" s="13" t="s">
        <v>45</v>
      </c>
      <c r="E20" s="16" t="e">
        <f>#REF!+MESCOM!E20+CESC!E20+HESCOM!E20+GESCOM!E19+HRECS!E20</f>
        <v>#REF!</v>
      </c>
      <c r="F20" s="16" t="e">
        <f>#REF!+MESCOM!F20+CESC!F20+HESCOM!F20+GESCOM!F19+HRECS!F20</f>
        <v>#REF!</v>
      </c>
      <c r="G20" s="16" t="e">
        <f>#REF!+MESCOM!G20+CESC!G20+HESCOM!G20+GESCOM!G19+HRECS!G20</f>
        <v>#REF!</v>
      </c>
      <c r="H20" s="16" t="e">
        <f>#REF!+MESCOM!H20+CESC!H20+HESCOM!H20+GESCOM!H19+HRECS!H20</f>
        <v>#REF!</v>
      </c>
      <c r="I20" s="19" t="e">
        <f t="shared" si="0"/>
        <v>#REF!</v>
      </c>
      <c r="J20" s="19"/>
      <c r="K20" s="36"/>
      <c r="L20" s="26"/>
    </row>
    <row r="21" spans="1:16" ht="22.5" x14ac:dyDescent="0.2">
      <c r="A21" s="4"/>
      <c r="B21" s="3">
        <v>14</v>
      </c>
      <c r="C21" s="4" t="s">
        <v>20</v>
      </c>
      <c r="D21" s="13" t="s">
        <v>46</v>
      </c>
      <c r="E21" s="16" t="e">
        <f>#REF!+MESCOM!E21+CESC!E21+HESCOM!E21+GESCOM!E20+HRECS!E21</f>
        <v>#REF!</v>
      </c>
      <c r="F21" s="16" t="e">
        <f>#REF!+MESCOM!F21+CESC!F21+HESCOM!F21+GESCOM!F20+HRECS!F21</f>
        <v>#REF!</v>
      </c>
      <c r="G21" s="16" t="e">
        <f>#REF!+MESCOM!G21+CESC!G21+HESCOM!G21+GESCOM!G20+HRECS!G21</f>
        <v>#REF!</v>
      </c>
      <c r="H21" s="16" t="e">
        <f>#REF!+MESCOM!H21+CESC!H21+HESCOM!H21+GESCOM!H20+HRECS!H21</f>
        <v>#REF!</v>
      </c>
      <c r="I21" s="19" t="e">
        <f t="shared" si="0"/>
        <v>#REF!</v>
      </c>
      <c r="J21" s="19"/>
      <c r="K21" s="36"/>
      <c r="L21" s="26"/>
    </row>
    <row r="22" spans="1:16" x14ac:dyDescent="0.2">
      <c r="A22" s="4"/>
      <c r="B22" s="3">
        <v>15</v>
      </c>
      <c r="C22" s="4" t="s">
        <v>21</v>
      </c>
      <c r="D22" s="13" t="s">
        <v>22</v>
      </c>
      <c r="E22" s="16" t="e">
        <f>#REF!+MESCOM!E22+CESC!E22+HESCOM!E22+GESCOM!E21+HRECS!E22</f>
        <v>#REF!</v>
      </c>
      <c r="F22" s="16" t="e">
        <f>#REF!+MESCOM!F22+CESC!F22+HESCOM!F22+GESCOM!F21+HRECS!F22</f>
        <v>#REF!</v>
      </c>
      <c r="G22" s="16" t="e">
        <f>#REF!+MESCOM!G22+CESC!G22+HESCOM!G22+GESCOM!G21+HRECS!G22</f>
        <v>#REF!</v>
      </c>
      <c r="H22" s="16" t="e">
        <f>#REF!+MESCOM!H22+CESC!H22+HESCOM!H22+GESCOM!H21+HRECS!H22</f>
        <v>#REF!</v>
      </c>
      <c r="I22" s="19" t="e">
        <f t="shared" si="0"/>
        <v>#REF!</v>
      </c>
      <c r="J22" s="19"/>
      <c r="K22" s="36"/>
      <c r="L22" s="26"/>
    </row>
    <row r="23" spans="1:16" x14ac:dyDescent="0.2">
      <c r="A23" s="4"/>
      <c r="B23" s="3">
        <v>16</v>
      </c>
      <c r="C23" s="4" t="s">
        <v>21</v>
      </c>
      <c r="D23" s="13" t="s">
        <v>23</v>
      </c>
      <c r="E23" s="16" t="e">
        <f>#REF!+MESCOM!E23+CESC!E23+HESCOM!E23+GESCOM!E22+HRECS!E23</f>
        <v>#REF!</v>
      </c>
      <c r="F23" s="16" t="e">
        <f>#REF!+MESCOM!F23+CESC!F23+HESCOM!F23+GESCOM!F22+HRECS!F23</f>
        <v>#REF!</v>
      </c>
      <c r="G23" s="16" t="e">
        <f>#REF!+MESCOM!G23+CESC!G23+HESCOM!G23+GESCOM!G22+HRECS!G23</f>
        <v>#REF!</v>
      </c>
      <c r="H23" s="16" t="e">
        <f>#REF!+MESCOM!H23+CESC!H23+HESCOM!H23+GESCOM!H22+HRECS!H23</f>
        <v>#REF!</v>
      </c>
      <c r="I23" s="19" t="e">
        <f t="shared" si="0"/>
        <v>#REF!</v>
      </c>
      <c r="J23" s="19"/>
      <c r="K23" s="36"/>
      <c r="L23" s="26"/>
    </row>
    <row r="24" spans="1:16" x14ac:dyDescent="0.2">
      <c r="A24" s="5"/>
      <c r="B24" s="3">
        <v>17</v>
      </c>
      <c r="C24" s="5" t="s">
        <v>77</v>
      </c>
      <c r="D24" s="13" t="s">
        <v>24</v>
      </c>
      <c r="E24" s="16" t="e">
        <f>#REF!+MESCOM!E24+CESC!E24+HESCOM!E24+GESCOM!E23+HRECS!E24</f>
        <v>#REF!</v>
      </c>
      <c r="F24" s="16" t="e">
        <f>#REF!+MESCOM!F24+CESC!F24+HESCOM!F24+GESCOM!F23+HRECS!F24</f>
        <v>#REF!</v>
      </c>
      <c r="G24" s="16" t="e">
        <f>#REF!+MESCOM!G24+CESC!G24+HESCOM!G24+GESCOM!G23+HRECS!G24</f>
        <v>#REF!</v>
      </c>
      <c r="H24" s="16" t="e">
        <f>#REF!+MESCOM!H24+CESC!H24+HESCOM!H24+GESCOM!H23+HRECS!H24</f>
        <v>#REF!</v>
      </c>
      <c r="I24" s="17" t="e">
        <f t="shared" si="0"/>
        <v>#REF!</v>
      </c>
      <c r="J24" s="17"/>
      <c r="K24" s="36"/>
      <c r="L24" s="39"/>
    </row>
    <row r="25" spans="1:16" ht="12" thickBot="1" x14ac:dyDescent="0.25">
      <c r="A25" s="46"/>
      <c r="B25" s="11">
        <v>18</v>
      </c>
      <c r="C25" s="5" t="s">
        <v>78</v>
      </c>
      <c r="D25" s="5" t="s">
        <v>76</v>
      </c>
      <c r="E25" s="16" t="e">
        <f>#REF!+MESCOM!E25+CESC!E25+HESCOM!E25+GESCOM!E24+HRECS!E25</f>
        <v>#REF!</v>
      </c>
      <c r="F25" s="16" t="e">
        <f>#REF!+MESCOM!F25+CESC!F25+HESCOM!F25+GESCOM!F24+HRECS!F25</f>
        <v>#REF!</v>
      </c>
      <c r="G25" s="16" t="e">
        <f>#REF!+MESCOM!G25+CESC!G25+HESCOM!G25+GESCOM!G24+HRECS!G25</f>
        <v>#REF!</v>
      </c>
      <c r="H25" s="16" t="e">
        <f>#REF!+MESCOM!H25+CESC!H25+HESCOM!H25+GESCOM!H24+HRECS!H25</f>
        <v>#REF!</v>
      </c>
      <c r="I25" s="49" t="e">
        <f t="shared" si="0"/>
        <v>#REF!</v>
      </c>
      <c r="J25" s="49"/>
      <c r="K25" s="51"/>
      <c r="L25" s="47"/>
    </row>
    <row r="26" spans="1:16" ht="12" thickBot="1" x14ac:dyDescent="0.25">
      <c r="B26" s="11"/>
      <c r="C26" s="335" t="s">
        <v>25</v>
      </c>
      <c r="D26" s="336"/>
      <c r="E26" s="21" t="e">
        <f>SUM(E8:E25)</f>
        <v>#REF!</v>
      </c>
      <c r="F26" s="21" t="e">
        <f>SUM(F8:F25)+0.01</f>
        <v>#REF!</v>
      </c>
      <c r="G26" s="21" t="e">
        <f>SUM(G8:G25)+0.01</f>
        <v>#REF!</v>
      </c>
      <c r="H26" s="22" t="e">
        <f>SUM(H8:H25)</f>
        <v>#REF!</v>
      </c>
      <c r="I26" s="23" t="e">
        <f t="shared" si="0"/>
        <v>#REF!</v>
      </c>
      <c r="J26" s="22"/>
      <c r="K26" s="52"/>
      <c r="L26" s="40"/>
      <c r="M26" s="14" t="e">
        <f>#REF!+MESCOM!E26+CESC!E26+HESCOM!E26+GESCOM!E25+HRECS!E26</f>
        <v>#REF!</v>
      </c>
      <c r="N26" s="14" t="e">
        <f>#REF!+MESCOM!F26+CESC!F26+HESCOM!F26+GESCOM!F25+HRECS!F26</f>
        <v>#REF!</v>
      </c>
      <c r="O26" s="14" t="e">
        <f>#REF!+MESCOM!G26+CESC!G26+HESCOM!G26+GESCOM!G25+HRECS!G26</f>
        <v>#REF!</v>
      </c>
      <c r="P26" s="14" t="e">
        <f>#REF!+MESCOM!H26+CESC!H26+HESCOM!H26+GESCOM!H25+HRECS!H26</f>
        <v>#REF!</v>
      </c>
    </row>
    <row r="27" spans="1:16" x14ac:dyDescent="0.2">
      <c r="B27" s="3">
        <v>1</v>
      </c>
      <c r="C27" s="6" t="s">
        <v>26</v>
      </c>
      <c r="D27" s="15" t="s">
        <v>27</v>
      </c>
      <c r="E27" s="16" t="e">
        <f>#REF!+MESCOM!E27+CESC!E27+HESCOM!E27+GESCOM!E26+HRECS!E27</f>
        <v>#REF!</v>
      </c>
      <c r="F27" s="16" t="e">
        <f>#REF!+MESCOM!F27+CESC!F27+HESCOM!F27+GESCOM!F26+HRECS!F27</f>
        <v>#REF!</v>
      </c>
      <c r="G27" s="16" t="e">
        <f>#REF!+MESCOM!G27+CESC!G27+HESCOM!G27+GESCOM!G26+HRECS!G27</f>
        <v>#REF!</v>
      </c>
      <c r="H27" s="16" t="e">
        <f>#REF!+MESCOM!H27+CESC!H27+HESCOM!H27+GESCOM!H26+HRECS!H27</f>
        <v>#REF!</v>
      </c>
      <c r="I27" s="20" t="e">
        <f t="shared" si="0"/>
        <v>#REF!</v>
      </c>
      <c r="J27" s="20"/>
      <c r="K27" s="37"/>
      <c r="L27" s="30"/>
    </row>
    <row r="28" spans="1:16" ht="25.15" customHeight="1" x14ac:dyDescent="0.2">
      <c r="B28" s="3">
        <v>2</v>
      </c>
      <c r="C28" s="4" t="s">
        <v>101</v>
      </c>
      <c r="D28" s="13" t="s">
        <v>47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9" t="e">
        <f t="shared" si="0"/>
        <v>#REF!</v>
      </c>
      <c r="J28" s="19"/>
      <c r="K28" s="36"/>
      <c r="L28" s="26"/>
      <c r="M28" s="9">
        <f>1549.683034+538.3875328</f>
        <v>2088.0705668000001</v>
      </c>
    </row>
    <row r="29" spans="1:16" ht="24" customHeight="1" x14ac:dyDescent="0.2">
      <c r="B29" s="3">
        <v>3</v>
      </c>
      <c r="C29" s="4" t="s">
        <v>28</v>
      </c>
      <c r="D29" s="13" t="s">
        <v>48</v>
      </c>
      <c r="E29" s="16" t="e">
        <f>#REF!+MESCOM!E28+CESC!E28+HESCOM!E28+GESCOM!E27+HRECS!E28</f>
        <v>#REF!</v>
      </c>
      <c r="F29" s="16" t="e">
        <f>#REF!+MESCOM!F28+CESC!F28+HESCOM!F28+GESCOM!F27+HRECS!F28</f>
        <v>#REF!</v>
      </c>
      <c r="G29" s="16" t="e">
        <f>#REF!+MESCOM!G28+CESC!G28+HESCOM!G28+GESCOM!G27+HRECS!G28</f>
        <v>#REF!</v>
      </c>
      <c r="H29" s="16" t="e">
        <f>#REF!+MESCOM!H28+CESC!H28+HESCOM!H28+GESCOM!H27+HRECS!H28</f>
        <v>#REF!</v>
      </c>
      <c r="I29" s="19" t="e">
        <f t="shared" si="0"/>
        <v>#REF!</v>
      </c>
      <c r="J29" s="19"/>
      <c r="K29" s="36"/>
      <c r="L29" s="26"/>
    </row>
    <row r="30" spans="1:16" ht="34.15" customHeight="1" x14ac:dyDescent="0.2">
      <c r="B30" s="3">
        <v>4</v>
      </c>
      <c r="C30" s="4" t="s">
        <v>103</v>
      </c>
      <c r="D30" s="13" t="s">
        <v>49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9" t="e">
        <f t="shared" si="0"/>
        <v>#REF!</v>
      </c>
      <c r="J30" s="19"/>
      <c r="K30" s="36"/>
      <c r="L30" s="26"/>
    </row>
    <row r="31" spans="1:16" ht="22.5" x14ac:dyDescent="0.2">
      <c r="B31" s="3">
        <v>5</v>
      </c>
      <c r="C31" s="4" t="s">
        <v>29</v>
      </c>
      <c r="D31" s="13" t="s">
        <v>50</v>
      </c>
      <c r="E31" s="16" t="e">
        <f>#REF!+MESCOM!E29+CESC!E29+HESCOM!E29+GESCOM!E28+HRECS!E29</f>
        <v>#REF!</v>
      </c>
      <c r="F31" s="17" t="e">
        <f>#REF!+MESCOM!F29+CESC!F29+HESCOM!F29+GESCOM!F28+HRECS!F29</f>
        <v>#REF!</v>
      </c>
      <c r="G31" s="17" t="e">
        <f>#REF!+MESCOM!G29+CESC!G29+HESCOM!G29+GESCOM!G28+HRECS!G29</f>
        <v>#REF!</v>
      </c>
      <c r="H31" s="18" t="e">
        <f>#REF!+MESCOM!H29+CESC!H29+HESCOM!H29+GESCOM!H28+HRECS!H29</f>
        <v>#REF!</v>
      </c>
      <c r="I31" s="19" t="e">
        <f t="shared" si="0"/>
        <v>#REF!</v>
      </c>
      <c r="J31" s="19"/>
      <c r="K31" s="36"/>
      <c r="L31" s="26"/>
    </row>
    <row r="32" spans="1:16" ht="22.5" x14ac:dyDescent="0.2">
      <c r="B32" s="3">
        <v>6</v>
      </c>
      <c r="C32" s="4" t="s">
        <v>65</v>
      </c>
      <c r="D32" s="13" t="s">
        <v>67</v>
      </c>
      <c r="E32" s="16" t="e">
        <f>#REF!+MESCOM!E30+CESC!E30+HESCOM!E30+GESCOM!E29+HRECS!E30</f>
        <v>#REF!</v>
      </c>
      <c r="F32" s="16" t="e">
        <f>#REF!+MESCOM!F30+CESC!F30+HESCOM!F30+GESCOM!F29+HRECS!F30</f>
        <v>#REF!</v>
      </c>
      <c r="G32" s="16" t="e">
        <f>#REF!+MESCOM!G30+CESC!G30+HESCOM!G30+GESCOM!G29+HRECS!G30</f>
        <v>#REF!</v>
      </c>
      <c r="H32" s="16" t="e">
        <f>#REF!+MESCOM!H30+CESC!H30+HESCOM!H30+GESCOM!H29+HRECS!H30</f>
        <v>#REF!</v>
      </c>
      <c r="I32" s="19" t="e">
        <f t="shared" si="0"/>
        <v>#REF!</v>
      </c>
      <c r="J32" s="19"/>
      <c r="K32" s="36"/>
      <c r="L32" s="26"/>
    </row>
    <row r="33" spans="2:16" ht="22.5" x14ac:dyDescent="0.2">
      <c r="B33" s="3">
        <v>7</v>
      </c>
      <c r="C33" s="4" t="s">
        <v>66</v>
      </c>
      <c r="D33" s="13" t="s">
        <v>68</v>
      </c>
      <c r="E33" s="16" t="e">
        <f>#REF!+MESCOM!E31+CESC!E31+HESCOM!E31+GESCOM!E30+HRECS!E31</f>
        <v>#REF!</v>
      </c>
      <c r="F33" s="16" t="e">
        <f>#REF!+MESCOM!F31+CESC!F31+HESCOM!F31+GESCOM!F30+HRECS!F31</f>
        <v>#REF!</v>
      </c>
      <c r="G33" s="16" t="e">
        <f>#REF!+MESCOM!G31+CESC!G31+HESCOM!G31+GESCOM!G30+HRECS!G31</f>
        <v>#REF!</v>
      </c>
      <c r="H33" s="16" t="e">
        <f>#REF!+MESCOM!H31+CESC!H31+HESCOM!H31+GESCOM!H30+HRECS!H31</f>
        <v>#REF!</v>
      </c>
      <c r="I33" s="19" t="e">
        <f t="shared" si="0"/>
        <v>#REF!</v>
      </c>
      <c r="J33" s="19"/>
      <c r="K33" s="36"/>
      <c r="L33" s="26"/>
    </row>
    <row r="34" spans="2:16" ht="31.9" customHeight="1" x14ac:dyDescent="0.2">
      <c r="B34" s="3">
        <v>8</v>
      </c>
      <c r="C34" s="4" t="s">
        <v>30</v>
      </c>
      <c r="D34" s="13" t="s">
        <v>51</v>
      </c>
      <c r="E34" s="16" t="e">
        <f>#REF!+MESCOM!E32+CESC!E32+HESCOM!E32+GESCOM!E31+HRECS!E32</f>
        <v>#REF!</v>
      </c>
      <c r="F34" s="16" t="e">
        <f>#REF!+MESCOM!F32+CESC!F32+HESCOM!F32+GESCOM!F31+HRECS!F32</f>
        <v>#REF!</v>
      </c>
      <c r="G34" s="16" t="e">
        <f>#REF!+MESCOM!G32+CESC!G32+HESCOM!G32+GESCOM!G31+HRECS!G32</f>
        <v>#REF!</v>
      </c>
      <c r="H34" s="16" t="e">
        <f>#REF!+MESCOM!H32+CESC!H32+HESCOM!H32+GESCOM!H31+HRECS!H32</f>
        <v>#REF!</v>
      </c>
      <c r="I34" s="19" t="e">
        <f t="shared" si="0"/>
        <v>#REF!</v>
      </c>
      <c r="J34" s="19"/>
      <c r="K34" s="36"/>
      <c r="L34" s="26"/>
    </row>
    <row r="35" spans="2:16" ht="36" customHeight="1" x14ac:dyDescent="0.2">
      <c r="B35" s="3">
        <v>9</v>
      </c>
      <c r="C35" s="4" t="s">
        <v>31</v>
      </c>
      <c r="D35" s="13" t="s">
        <v>52</v>
      </c>
      <c r="E35" s="16" t="e">
        <f>#REF!+MESCOM!E33+CESC!E33+HESCOM!E33+GESCOM!E32</f>
        <v>#REF!</v>
      </c>
      <c r="F35" s="16" t="e">
        <f>#REF!+MESCOM!F33+CESC!F33+HESCOM!F33+GESCOM!F32</f>
        <v>#REF!</v>
      </c>
      <c r="G35" s="16" t="e">
        <f>#REF!+MESCOM!G33+CESC!G33+HESCOM!G33+GESCOM!G32</f>
        <v>#REF!</v>
      </c>
      <c r="H35" s="16" t="e">
        <f>#REF!+MESCOM!H33+CESC!H33+HESCOM!H33+GESCOM!H32</f>
        <v>#REF!</v>
      </c>
      <c r="I35" s="19" t="e">
        <f t="shared" si="0"/>
        <v>#REF!</v>
      </c>
      <c r="J35" s="19"/>
      <c r="K35" s="36"/>
      <c r="L35" s="26"/>
    </row>
    <row r="36" spans="2:16" ht="33" customHeight="1" x14ac:dyDescent="0.2">
      <c r="B36" s="3">
        <v>10</v>
      </c>
      <c r="C36" s="4" t="s">
        <v>37</v>
      </c>
      <c r="D36" s="13" t="s">
        <v>53</v>
      </c>
      <c r="E36" s="16" t="e">
        <f>#REF!+MESCOM!E34+CESC!E34+HESCOM!E34+GESCOM!E33</f>
        <v>#REF!</v>
      </c>
      <c r="F36" s="16" t="e">
        <f>#REF!+MESCOM!F34+CESC!F34+HESCOM!F34+GESCOM!F33</f>
        <v>#REF!</v>
      </c>
      <c r="G36" s="16" t="e">
        <f>#REF!+MESCOM!G34+CESC!G34+HESCOM!G34+GESCOM!G33</f>
        <v>#REF!</v>
      </c>
      <c r="H36" s="16" t="e">
        <f>#REF!+MESCOM!H34+CESC!H34+HESCOM!H34+GESCOM!H33</f>
        <v>#REF!</v>
      </c>
      <c r="I36" s="19">
        <v>0</v>
      </c>
      <c r="J36" s="19"/>
      <c r="K36" s="36"/>
      <c r="L36" s="26"/>
    </row>
    <row r="37" spans="2:16" ht="33.6" customHeight="1" x14ac:dyDescent="0.2">
      <c r="B37" s="3">
        <v>11</v>
      </c>
      <c r="C37" s="4" t="s">
        <v>32</v>
      </c>
      <c r="D37" s="13" t="s">
        <v>56</v>
      </c>
      <c r="E37" s="16" t="e">
        <f>#REF!+MESCOM!E35+CESC!E35+HESCOM!E35+GESCOM!E34</f>
        <v>#REF!</v>
      </c>
      <c r="F37" s="16" t="e">
        <f>#REF!+MESCOM!F35+CESC!F35+HESCOM!F35+GESCOM!F34</f>
        <v>#REF!</v>
      </c>
      <c r="G37" s="16" t="e">
        <f>#REF!+MESCOM!G35+CESC!G35+HESCOM!G35+GESCOM!G34</f>
        <v>#REF!</v>
      </c>
      <c r="H37" s="16" t="e">
        <f>#REF!+MESCOM!H35+CESC!H35+HESCOM!H35+GESCOM!H34</f>
        <v>#REF!</v>
      </c>
      <c r="I37" s="19" t="e">
        <f t="shared" si="0"/>
        <v>#REF!</v>
      </c>
      <c r="J37" s="19"/>
      <c r="K37" s="36"/>
      <c r="L37" s="26"/>
    </row>
    <row r="38" spans="2:16" x14ac:dyDescent="0.2">
      <c r="B38" s="3">
        <v>12</v>
      </c>
      <c r="C38" s="4" t="s">
        <v>33</v>
      </c>
      <c r="D38" s="13" t="s">
        <v>64</v>
      </c>
      <c r="E38" s="16" t="e">
        <f>#REF!+MESCOM!E36+CESC!E36+HESCOM!E36+GESCOM!E35</f>
        <v>#REF!</v>
      </c>
      <c r="F38" s="16" t="e">
        <f>#REF!+MESCOM!F36+CESC!F36+HESCOM!F36+GESCOM!F35</f>
        <v>#REF!</v>
      </c>
      <c r="G38" s="16" t="e">
        <f>#REF!+MESCOM!G36+CESC!G36+HESCOM!G36+GESCOM!G35</f>
        <v>#REF!</v>
      </c>
      <c r="H38" s="16" t="e">
        <f>#REF!+MESCOM!H36+CESC!H36+HESCOM!H36+GESCOM!H35</f>
        <v>#REF!</v>
      </c>
      <c r="I38" s="19" t="e">
        <f t="shared" si="0"/>
        <v>#REF!</v>
      </c>
      <c r="J38" s="19"/>
      <c r="K38" s="36"/>
      <c r="L38" s="26"/>
    </row>
    <row r="39" spans="2:16" ht="12" thickBot="1" x14ac:dyDescent="0.25">
      <c r="B39" s="11">
        <v>13</v>
      </c>
      <c r="C39" s="4" t="s">
        <v>63</v>
      </c>
      <c r="D39" s="13" t="s">
        <v>24</v>
      </c>
      <c r="E39" s="16" t="e">
        <f>#REF!+MESCOM!E37+CESC!E37+HESCOM!E37+GESCOM!E36</f>
        <v>#REF!</v>
      </c>
      <c r="F39" s="16" t="e">
        <f>#REF!+MESCOM!F37+CESC!F37+HESCOM!F37+GESCOM!F36</f>
        <v>#REF!</v>
      </c>
      <c r="G39" s="16" t="e">
        <f>#REF!+MESCOM!G37+CESC!G37+HESCOM!G37+GESCOM!G36</f>
        <v>#REF!</v>
      </c>
      <c r="H39" s="16" t="e">
        <f>#REF!+MESCOM!H37+CESC!H37+HESCOM!H37+GESCOM!H36</f>
        <v>#REF!</v>
      </c>
      <c r="I39" s="17" t="e">
        <f t="shared" si="0"/>
        <v>#REF!</v>
      </c>
      <c r="J39" s="19"/>
      <c r="K39" s="36"/>
      <c r="L39" s="26"/>
    </row>
    <row r="40" spans="2:16" ht="15" customHeight="1" thickBot="1" x14ac:dyDescent="0.25">
      <c r="B40" s="11"/>
      <c r="C40" s="335" t="s">
        <v>34</v>
      </c>
      <c r="D40" s="336"/>
      <c r="E40" s="21" t="e">
        <f>SUM(E27:E39)+0.01</f>
        <v>#REF!</v>
      </c>
      <c r="F40" s="21" t="e">
        <f>SUM(F27:F39)+0.01</f>
        <v>#REF!</v>
      </c>
      <c r="G40" s="21" t="e">
        <f>SUM(G27:G39)</f>
        <v>#REF!</v>
      </c>
      <c r="H40" s="22" t="e">
        <f>SUM(H27:H39)</f>
        <v>#REF!</v>
      </c>
      <c r="I40" s="23" t="e">
        <f t="shared" si="0"/>
        <v>#REF!</v>
      </c>
      <c r="J40" s="22"/>
      <c r="K40" s="41"/>
      <c r="L40" s="42"/>
      <c r="M40" s="14" t="e">
        <f>#REF!+MESCOM!E38+CESC!E38+HESCOM!E38+GESCOM!E37+HRECS!E38</f>
        <v>#REF!</v>
      </c>
      <c r="N40" s="14" t="e">
        <f>#REF!+MESCOM!F38+CESC!F38+HESCOM!F38+GESCOM!F37+HRECS!F38</f>
        <v>#REF!</v>
      </c>
      <c r="O40" s="14" t="e">
        <f>#REF!+MESCOM!G38+CESC!G38+HESCOM!G38+GESCOM!G37+HRECS!G38</f>
        <v>#REF!</v>
      </c>
      <c r="P40" s="14" t="e">
        <f>#REF!+MESCOM!H38+CESC!H38+HESCOM!H38+GESCOM!H37+HRECS!H38</f>
        <v>#REF!</v>
      </c>
    </row>
    <row r="41" spans="2:16" ht="15" customHeight="1" thickBot="1" x14ac:dyDescent="0.25">
      <c r="B41" s="11"/>
      <c r="C41" s="335" t="s">
        <v>35</v>
      </c>
      <c r="D41" s="336"/>
      <c r="E41" s="21" t="e">
        <f>(E40+E26)</f>
        <v>#REF!</v>
      </c>
      <c r="F41" s="21" t="e">
        <f>(F26+F40)-0.01</f>
        <v>#REF!</v>
      </c>
      <c r="G41" s="21" t="e">
        <f>G26+G40-0.01</f>
        <v>#REF!</v>
      </c>
      <c r="H41" s="22" t="e">
        <f>H26+H40</f>
        <v>#REF!</v>
      </c>
      <c r="I41" s="23" t="e">
        <f t="shared" si="0"/>
        <v>#REF!</v>
      </c>
      <c r="J41" s="22"/>
      <c r="K41" s="43"/>
      <c r="L41" s="40"/>
      <c r="M41" s="14" t="e">
        <f>M26+M40</f>
        <v>#REF!</v>
      </c>
      <c r="N41" s="14" t="e">
        <f>N26+N40</f>
        <v>#REF!</v>
      </c>
      <c r="O41" s="14" t="e">
        <f>O26+O40</f>
        <v>#REF!</v>
      </c>
      <c r="P41" s="14" t="e">
        <f>P26+P40</f>
        <v>#REF!</v>
      </c>
    </row>
    <row r="42" spans="2:16" ht="12" thickBot="1" x14ac:dyDescent="0.25">
      <c r="B42" s="11"/>
      <c r="C42" s="380" t="s">
        <v>39</v>
      </c>
      <c r="D42" s="381"/>
      <c r="E42" s="31"/>
      <c r="F42" s="32">
        <v>568.6</v>
      </c>
      <c r="G42" s="31"/>
      <c r="H42" s="32" t="e">
        <f>#REF!+MESCOM!H40+CESC!H40+HESCOM!H40+GESCOM!H39+HRECS!H40</f>
        <v>#REF!</v>
      </c>
      <c r="I42" s="34"/>
      <c r="J42" s="33"/>
      <c r="K42" s="44"/>
      <c r="L42" s="45"/>
      <c r="M42" s="14" t="e">
        <f>#REF!+MESCOM!E40+CESC!E40+HESCOM!E40+GESCOM!E39</f>
        <v>#REF!</v>
      </c>
      <c r="N42" s="14" t="e">
        <f>#REF!+MESCOM!F40+CESC!F40+HESCOM!F40+GESCOM!F39</f>
        <v>#REF!</v>
      </c>
      <c r="O42" s="14" t="e">
        <f>#REF!+MESCOM!G40+CESC!G40+HESCOM!G40+GESCOM!G39</f>
        <v>#REF!</v>
      </c>
      <c r="P42" s="14" t="e">
        <f>#REF!+MESCOM!H40+CESC!H40+HESCOM!H40+GESCOM!H39</f>
        <v>#REF!</v>
      </c>
    </row>
    <row r="43" spans="2:16" ht="15" customHeight="1" thickBot="1" x14ac:dyDescent="0.25">
      <c r="B43" s="12"/>
      <c r="C43" s="335" t="s">
        <v>36</v>
      </c>
      <c r="D43" s="336"/>
      <c r="E43" s="21" t="e">
        <f>E41+E42</f>
        <v>#REF!</v>
      </c>
      <c r="F43" s="21" t="e">
        <f>F41+F42</f>
        <v>#REF!</v>
      </c>
      <c r="G43" s="21" t="e">
        <f>G41</f>
        <v>#REF!</v>
      </c>
      <c r="H43" s="22" t="e">
        <f>SUM(H41:H42)-0.01</f>
        <v>#REF!</v>
      </c>
      <c r="I43" s="23" t="e">
        <f>H43/G43*10</f>
        <v>#REF!</v>
      </c>
      <c r="J43" s="22"/>
      <c r="K43" s="41"/>
      <c r="L43" s="42"/>
      <c r="M43" s="14" t="e">
        <f>M41+M42</f>
        <v>#REF!</v>
      </c>
      <c r="N43" s="14" t="e">
        <f>N40+N26+N42</f>
        <v>#REF!</v>
      </c>
      <c r="O43" s="14" t="e">
        <f>O40+O26+O42</f>
        <v>#REF!</v>
      </c>
      <c r="P43" s="14" t="e">
        <f>P40+P26+P42</f>
        <v>#REF!</v>
      </c>
    </row>
    <row r="44" spans="2:16" ht="24.75" customHeight="1" x14ac:dyDescent="0.2">
      <c r="C44" s="334" t="s">
        <v>113</v>
      </c>
      <c r="D44" s="334"/>
      <c r="E44" s="14">
        <f>MESCOM!E42+HRECS!E41</f>
        <v>69</v>
      </c>
      <c r="F44" s="14">
        <f>MESCOM!F42+HRECS!F41</f>
        <v>47.56</v>
      </c>
      <c r="G44" s="14">
        <f>MESCOM!G42+HRECS!G41</f>
        <v>12.715</v>
      </c>
      <c r="M44" s="14"/>
      <c r="P44" s="14" t="e">
        <f>H43-P43</f>
        <v>#REF!</v>
      </c>
    </row>
    <row r="45" spans="2:16" x14ac:dyDescent="0.2">
      <c r="B45" s="388" t="s">
        <v>70</v>
      </c>
      <c r="C45" s="388"/>
      <c r="D45" s="388"/>
      <c r="E45" s="388"/>
      <c r="F45" s="388"/>
      <c r="G45" s="388"/>
      <c r="H45" s="388"/>
      <c r="I45" s="7"/>
    </row>
    <row r="46" spans="2:16" x14ac:dyDescent="0.2">
      <c r="B46" s="388" t="s">
        <v>83</v>
      </c>
      <c r="C46" s="388"/>
      <c r="D46" s="388"/>
      <c r="E46" s="388"/>
      <c r="F46" s="388"/>
      <c r="G46" s="388"/>
      <c r="H46" s="388"/>
      <c r="I46" s="7"/>
      <c r="M46" s="14"/>
    </row>
    <row r="47" spans="2:16" ht="14.25" x14ac:dyDescent="0.2">
      <c r="B47" s="10" t="s">
        <v>81</v>
      </c>
      <c r="C47" s="10"/>
      <c r="D47" s="10"/>
      <c r="E47" s="10"/>
      <c r="F47" s="48"/>
      <c r="H47" s="48"/>
      <c r="K47" s="391" t="s">
        <v>84</v>
      </c>
      <c r="L47" s="391"/>
      <c r="M47" s="14"/>
    </row>
    <row r="48" spans="2:16" x14ac:dyDescent="0.2">
      <c r="B48" s="10"/>
      <c r="C48" s="10"/>
      <c r="D48" s="10"/>
      <c r="E48" s="10"/>
      <c r="F48" s="10"/>
      <c r="G48" s="10"/>
      <c r="H48" s="10"/>
    </row>
    <row r="52" spans="4:5" hidden="1" x14ac:dyDescent="0.2">
      <c r="D52" s="9" t="s">
        <v>58</v>
      </c>
      <c r="E52" s="14" t="e">
        <f>H8+H10+H11+H38+H39</f>
        <v>#REF!</v>
      </c>
    </row>
    <row r="53" spans="4:5" hidden="1" x14ac:dyDescent="0.2">
      <c r="D53" s="9" t="s">
        <v>59</v>
      </c>
      <c r="E53" s="14" t="e">
        <f>H14+H15+H30+H31</f>
        <v>#REF!</v>
      </c>
    </row>
    <row r="54" spans="4:5" hidden="1" x14ac:dyDescent="0.2">
      <c r="D54" s="9" t="s">
        <v>60</v>
      </c>
      <c r="E54" s="14" t="e">
        <f>H20+H21+H28+H29</f>
        <v>#REF!</v>
      </c>
    </row>
    <row r="55" spans="4:5" hidden="1" x14ac:dyDescent="0.2">
      <c r="D55" s="9" t="s">
        <v>61</v>
      </c>
      <c r="E55" s="14" t="e">
        <f>+H16+H17+H18+H34+H35+H37</f>
        <v>#REF!</v>
      </c>
    </row>
    <row r="56" spans="4:5" hidden="1" x14ac:dyDescent="0.2">
      <c r="D56" s="9" t="s">
        <v>62</v>
      </c>
      <c r="E56" s="14" t="e">
        <f>H41-E52-E53-E54-E55</f>
        <v>#REF!</v>
      </c>
    </row>
    <row r="57" spans="4:5" hidden="1" x14ac:dyDescent="0.2">
      <c r="D57" s="9" t="s">
        <v>57</v>
      </c>
      <c r="E57" s="14" t="e">
        <f>SUM(E52:E56)</f>
        <v>#REF!</v>
      </c>
    </row>
  </sheetData>
  <mergeCells count="21">
    <mergeCell ref="K47:L47"/>
    <mergeCell ref="K6:K7"/>
    <mergeCell ref="L6:L7"/>
    <mergeCell ref="C26:D26"/>
    <mergeCell ref="C40:D40"/>
    <mergeCell ref="G6:H6"/>
    <mergeCell ref="B46:H46"/>
    <mergeCell ref="E6:F6"/>
    <mergeCell ref="B45:H45"/>
    <mergeCell ref="C41:D41"/>
    <mergeCell ref="I6:I7"/>
    <mergeCell ref="D6:D7"/>
    <mergeCell ref="C42:D42"/>
    <mergeCell ref="C43:D43"/>
    <mergeCell ref="C44:D44"/>
    <mergeCell ref="I3:K3"/>
    <mergeCell ref="B4:L4"/>
    <mergeCell ref="K5:L5"/>
    <mergeCell ref="B6:B7"/>
    <mergeCell ref="C6:C7"/>
    <mergeCell ref="J6:J7"/>
  </mergeCells>
  <pageMargins left="0.25" right="0" top="0.94" bottom="0.1" header="0.511811023622047" footer="0.511811023622047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O54"/>
  <sheetViews>
    <sheetView view="pageBreakPreview" topLeftCell="A19" zoomScaleNormal="100" zoomScaleSheetLayoutView="100" workbookViewId="0">
      <selection activeCell="D28" sqref="D28"/>
    </sheetView>
  </sheetViews>
  <sheetFormatPr defaultRowHeight="12.75" x14ac:dyDescent="0.2"/>
  <cols>
    <col min="3" max="3" width="17.140625" style="53" customWidth="1"/>
    <col min="4" max="4" width="26.85546875" style="53" customWidth="1"/>
    <col min="9" max="9" width="11.140625" customWidth="1"/>
    <col min="10" max="10" width="10.7109375" hidden="1" customWidth="1"/>
    <col min="11" max="11" width="10.140625" hidden="1" customWidth="1"/>
    <col min="12" max="12" width="0" hidden="1" customWidth="1"/>
  </cols>
  <sheetData>
    <row r="3" spans="1:15" ht="13.5" thickBot="1" x14ac:dyDescent="0.25">
      <c r="B3" s="392" t="s">
        <v>130</v>
      </c>
      <c r="C3" s="392"/>
      <c r="D3" s="392"/>
      <c r="E3" s="392"/>
      <c r="F3" s="392"/>
      <c r="G3" s="392"/>
      <c r="H3" s="392"/>
      <c r="I3" s="392"/>
    </row>
    <row r="4" spans="1:15" ht="27.75" customHeight="1" thickBot="1" x14ac:dyDescent="0.25">
      <c r="B4" s="340" t="s">
        <v>151</v>
      </c>
      <c r="C4" s="341"/>
      <c r="D4" s="341"/>
      <c r="E4" s="341"/>
      <c r="F4" s="341"/>
      <c r="G4" s="341"/>
      <c r="H4" s="341"/>
      <c r="I4" s="341"/>
      <c r="J4" s="261"/>
      <c r="K4" s="261"/>
      <c r="L4" s="262"/>
    </row>
    <row r="5" spans="1:15" ht="26.25" customHeight="1" thickBot="1" x14ac:dyDescent="0.25">
      <c r="B5" s="152"/>
      <c r="C5" s="153"/>
      <c r="D5" s="153"/>
      <c r="E5" s="154"/>
      <c r="F5" s="154"/>
      <c r="G5" s="154"/>
      <c r="H5" s="154"/>
      <c r="I5" s="154"/>
      <c r="J5" s="35" t="s">
        <v>73</v>
      </c>
      <c r="K5" s="331" t="s">
        <v>75</v>
      </c>
      <c r="L5" s="332"/>
    </row>
    <row r="6" spans="1:15" ht="13.5" customHeight="1" thickBot="1" x14ac:dyDescent="0.25">
      <c r="B6" s="316" t="s">
        <v>1</v>
      </c>
      <c r="C6" s="318" t="s">
        <v>2</v>
      </c>
      <c r="D6" s="357" t="s">
        <v>3</v>
      </c>
      <c r="E6" s="359" t="s">
        <v>132</v>
      </c>
      <c r="F6" s="360"/>
      <c r="G6" s="155" t="s">
        <v>0</v>
      </c>
      <c r="H6" s="156"/>
      <c r="I6" s="322" t="s">
        <v>69</v>
      </c>
      <c r="J6" s="324" t="s">
        <v>74</v>
      </c>
      <c r="K6" s="326" t="s">
        <v>71</v>
      </c>
      <c r="L6" s="305" t="s">
        <v>72</v>
      </c>
    </row>
    <row r="7" spans="1:15" ht="48" customHeight="1" thickBot="1" x14ac:dyDescent="0.25">
      <c r="B7" s="355"/>
      <c r="C7" s="356"/>
      <c r="D7" s="358"/>
      <c r="E7" s="157" t="s">
        <v>4</v>
      </c>
      <c r="F7" s="158" t="s">
        <v>5</v>
      </c>
      <c r="G7" s="157" t="s">
        <v>4</v>
      </c>
      <c r="H7" s="158" t="s">
        <v>5</v>
      </c>
      <c r="I7" s="323"/>
      <c r="J7" s="325"/>
      <c r="K7" s="327"/>
      <c r="L7" s="306"/>
    </row>
    <row r="8" spans="1:15" ht="25.5" customHeight="1" x14ac:dyDescent="0.2">
      <c r="A8" s="124"/>
      <c r="B8" s="159">
        <v>1</v>
      </c>
      <c r="C8" s="160" t="s">
        <v>6</v>
      </c>
      <c r="D8" s="15" t="s">
        <v>79</v>
      </c>
      <c r="E8" s="161">
        <v>3.26</v>
      </c>
      <c r="F8" s="161">
        <v>2.1179999999999999</v>
      </c>
      <c r="G8" s="162">
        <v>3.4249999999999998</v>
      </c>
      <c r="H8" s="163">
        <v>2.0550000000000002</v>
      </c>
      <c r="I8" s="161">
        <f>H8/G8*10</f>
        <v>6.0000000000000009</v>
      </c>
      <c r="J8" s="162"/>
      <c r="K8" s="164"/>
      <c r="L8" s="30"/>
    </row>
    <row r="9" spans="1:15" ht="25.5" customHeight="1" x14ac:dyDescent="0.2">
      <c r="A9" s="124"/>
      <c r="B9" s="159">
        <v>2</v>
      </c>
      <c r="C9" s="160" t="s">
        <v>82</v>
      </c>
      <c r="D9" s="15" t="s">
        <v>80</v>
      </c>
      <c r="E9" s="161">
        <v>0.56999999999999995</v>
      </c>
      <c r="F9" s="161">
        <v>0.26</v>
      </c>
      <c r="G9" s="165">
        <v>0.625</v>
      </c>
      <c r="H9" s="166">
        <v>0.25480000000000003</v>
      </c>
      <c r="I9" s="161">
        <f>H9/G9*10</f>
        <v>4.0768000000000004</v>
      </c>
      <c r="J9" s="162"/>
      <c r="K9" s="164"/>
      <c r="L9" s="30"/>
    </row>
    <row r="10" spans="1:15" ht="48" customHeight="1" x14ac:dyDescent="0.2">
      <c r="A10" s="4"/>
      <c r="B10" s="167">
        <v>3</v>
      </c>
      <c r="C10" s="4" t="s">
        <v>7</v>
      </c>
      <c r="D10" s="4" t="s">
        <v>88</v>
      </c>
      <c r="E10" s="165">
        <v>9.0299999999999994</v>
      </c>
      <c r="F10" s="165">
        <v>5.54</v>
      </c>
      <c r="G10" s="165">
        <v>9.218</v>
      </c>
      <c r="H10" s="168">
        <v>4.9457000000000004</v>
      </c>
      <c r="I10" s="165">
        <f t="shared" ref="I10:I39" si="0">H10/G10*10</f>
        <v>5.3652636146669561</v>
      </c>
      <c r="J10" s="169"/>
      <c r="K10" s="170"/>
      <c r="L10" s="26"/>
    </row>
    <row r="11" spans="1:15" ht="23.25" customHeight="1" x14ac:dyDescent="0.2">
      <c r="A11" s="4"/>
      <c r="B11" s="167">
        <v>4</v>
      </c>
      <c r="C11" s="4" t="s">
        <v>8</v>
      </c>
      <c r="D11" s="4" t="s">
        <v>89</v>
      </c>
      <c r="E11" s="165">
        <v>19.12</v>
      </c>
      <c r="F11" s="165">
        <v>10.6</v>
      </c>
      <c r="G11" s="165">
        <v>19.632999999999999</v>
      </c>
      <c r="H11" s="171">
        <v>10.3308</v>
      </c>
      <c r="I11" s="165">
        <f t="shared" si="0"/>
        <v>5.2619569092853871</v>
      </c>
      <c r="J11" s="169"/>
      <c r="K11" s="170"/>
      <c r="L11" s="26"/>
    </row>
    <row r="12" spans="1:15" ht="41.25" customHeight="1" x14ac:dyDescent="0.2">
      <c r="A12" s="4"/>
      <c r="B12" s="167">
        <v>5</v>
      </c>
      <c r="C12" s="4" t="s">
        <v>10</v>
      </c>
      <c r="D12" s="4" t="s">
        <v>90</v>
      </c>
      <c r="E12" s="165">
        <v>0.14000000000000001</v>
      </c>
      <c r="F12" s="165">
        <v>0.13</v>
      </c>
      <c r="G12" s="165">
        <v>0.14199999999999999</v>
      </c>
      <c r="H12" s="171">
        <v>0.1018</v>
      </c>
      <c r="I12" s="165">
        <f t="shared" si="0"/>
        <v>7.1690140845070429</v>
      </c>
      <c r="J12" s="172"/>
      <c r="K12" s="170"/>
      <c r="L12" s="26"/>
    </row>
    <row r="13" spans="1:15" ht="33.75" x14ac:dyDescent="0.2">
      <c r="A13" s="4"/>
      <c r="B13" s="167">
        <v>6</v>
      </c>
      <c r="C13" s="4" t="s">
        <v>11</v>
      </c>
      <c r="D13" s="4" t="s">
        <v>91</v>
      </c>
      <c r="E13" s="165">
        <v>7.0000000000000007E-2</v>
      </c>
      <c r="F13" s="165">
        <v>0.06</v>
      </c>
      <c r="G13" s="165">
        <v>7.9000000000000001E-2</v>
      </c>
      <c r="H13" s="171">
        <v>5.3900000000000003E-2</v>
      </c>
      <c r="I13" s="165">
        <f t="shared" si="0"/>
        <v>6.8227848101265831</v>
      </c>
      <c r="J13" s="172"/>
      <c r="K13" s="170"/>
      <c r="L13" s="26"/>
      <c r="O13">
        <f>18.08+3.34</f>
        <v>21.419999999999998</v>
      </c>
    </row>
    <row r="14" spans="1:15" ht="33.75" x14ac:dyDescent="0.2">
      <c r="A14" s="4"/>
      <c r="B14" s="167">
        <v>7</v>
      </c>
      <c r="C14" s="4" t="s">
        <v>13</v>
      </c>
      <c r="D14" s="4" t="s">
        <v>92</v>
      </c>
      <c r="E14" s="165">
        <v>3.13</v>
      </c>
      <c r="F14" s="165">
        <v>3.06</v>
      </c>
      <c r="G14" s="165">
        <v>3.4239999999999999</v>
      </c>
      <c r="H14" s="171">
        <v>2.9641000000000002</v>
      </c>
      <c r="I14" s="165">
        <f t="shared" si="0"/>
        <v>8.6568341121495322</v>
      </c>
      <c r="J14" s="169"/>
      <c r="K14" s="170"/>
      <c r="L14" s="26"/>
    </row>
    <row r="15" spans="1:15" ht="23.25" customHeight="1" x14ac:dyDescent="0.2">
      <c r="A15" s="4"/>
      <c r="B15" s="167">
        <v>8</v>
      </c>
      <c r="C15" s="4" t="s">
        <v>14</v>
      </c>
      <c r="D15" s="4" t="s">
        <v>93</v>
      </c>
      <c r="E15" s="165">
        <v>4.33</v>
      </c>
      <c r="F15" s="165">
        <v>3.96</v>
      </c>
      <c r="G15" s="165">
        <v>4.4260000000000002</v>
      </c>
      <c r="H15" s="171">
        <v>3.5423</v>
      </c>
      <c r="I15" s="165">
        <f t="shared" si="0"/>
        <v>8.0033890646181653</v>
      </c>
      <c r="J15" s="169"/>
      <c r="K15" s="170"/>
      <c r="L15" s="26"/>
    </row>
    <row r="16" spans="1:15" ht="13.5" x14ac:dyDescent="0.2">
      <c r="A16" s="4"/>
      <c r="B16" s="167">
        <v>9</v>
      </c>
      <c r="C16" s="4" t="s">
        <v>94</v>
      </c>
      <c r="D16" s="4" t="s">
        <v>40</v>
      </c>
      <c r="E16" s="165">
        <v>212.58</v>
      </c>
      <c r="F16" s="165">
        <v>139.03</v>
      </c>
      <c r="G16" s="165">
        <v>212.09</v>
      </c>
      <c r="H16" s="171">
        <v>123.01220000000001</v>
      </c>
      <c r="I16" s="165">
        <f t="shared" si="0"/>
        <v>5.8000000000000007</v>
      </c>
      <c r="J16" s="172"/>
      <c r="K16" s="170"/>
      <c r="L16" s="26"/>
    </row>
    <row r="17" spans="1:15" ht="13.5" x14ac:dyDescent="0.2">
      <c r="A17" s="4"/>
      <c r="B17" s="167">
        <v>10</v>
      </c>
      <c r="C17" s="4" t="s">
        <v>17</v>
      </c>
      <c r="D17" s="4" t="s">
        <v>18</v>
      </c>
      <c r="E17" s="165">
        <v>7.0000000000000007E-2</v>
      </c>
      <c r="F17" s="165">
        <v>0.03</v>
      </c>
      <c r="G17" s="165">
        <v>3.1E-2</v>
      </c>
      <c r="H17" s="171">
        <v>2.0500000000000001E-2</v>
      </c>
      <c r="I17" s="165">
        <f t="shared" si="0"/>
        <v>6.612903225806452</v>
      </c>
      <c r="J17" s="169"/>
      <c r="K17" s="170"/>
      <c r="L17" s="26"/>
    </row>
    <row r="18" spans="1:15" ht="33.75" x14ac:dyDescent="0.2">
      <c r="A18" s="4"/>
      <c r="B18" s="167">
        <v>11</v>
      </c>
      <c r="C18" s="4" t="s">
        <v>54</v>
      </c>
      <c r="D18" s="4" t="s">
        <v>95</v>
      </c>
      <c r="E18" s="165">
        <v>0.04</v>
      </c>
      <c r="F18" s="165">
        <v>0.02</v>
      </c>
      <c r="G18" s="165">
        <v>1.4E-2</v>
      </c>
      <c r="H18" s="171">
        <v>6.0000000000000001E-3</v>
      </c>
      <c r="I18" s="165">
        <f t="shared" si="0"/>
        <v>4.2857142857142856</v>
      </c>
      <c r="J18" s="172"/>
      <c r="K18" s="170"/>
      <c r="L18" s="26"/>
      <c r="O18">
        <f>106.4+0.51</f>
        <v>106.91000000000001</v>
      </c>
    </row>
    <row r="19" spans="1:15" ht="39.75" customHeight="1" x14ac:dyDescent="0.3">
      <c r="A19" s="4"/>
      <c r="B19" s="167">
        <v>12</v>
      </c>
      <c r="C19" s="4" t="s">
        <v>55</v>
      </c>
      <c r="D19" s="4" t="s">
        <v>96</v>
      </c>
      <c r="E19" s="165">
        <v>0</v>
      </c>
      <c r="F19" s="165">
        <v>0</v>
      </c>
      <c r="G19" s="165">
        <v>0</v>
      </c>
      <c r="H19" s="263">
        <v>0</v>
      </c>
      <c r="I19" s="165"/>
      <c r="J19" s="169"/>
      <c r="K19" s="170"/>
      <c r="L19" s="26"/>
    </row>
    <row r="20" spans="1:15" ht="14.25" x14ac:dyDescent="0.3">
      <c r="A20" s="4"/>
      <c r="B20" s="167">
        <v>13</v>
      </c>
      <c r="C20" s="4" t="s">
        <v>19</v>
      </c>
      <c r="D20" s="4" t="s">
        <v>98</v>
      </c>
      <c r="E20" s="165">
        <v>0</v>
      </c>
      <c r="F20" s="165">
        <v>0</v>
      </c>
      <c r="G20" s="165">
        <v>0</v>
      </c>
      <c r="H20" s="263">
        <v>0</v>
      </c>
      <c r="I20" s="165"/>
      <c r="J20" s="172"/>
      <c r="K20" s="170"/>
      <c r="L20" s="26"/>
    </row>
    <row r="21" spans="1:15" ht="13.5" x14ac:dyDescent="0.2">
      <c r="A21" s="4"/>
      <c r="B21" s="167">
        <v>14</v>
      </c>
      <c r="C21" s="4" t="s">
        <v>99</v>
      </c>
      <c r="D21" s="4" t="s">
        <v>98</v>
      </c>
      <c r="E21" s="165">
        <v>5.77</v>
      </c>
      <c r="F21" s="165">
        <v>4.4400000000000004</v>
      </c>
      <c r="G21" s="165">
        <v>6.4960000000000004</v>
      </c>
      <c r="H21" s="171">
        <v>4.6058000000000003</v>
      </c>
      <c r="I21" s="165">
        <f t="shared" si="0"/>
        <v>7.090209359605911</v>
      </c>
      <c r="J21" s="169"/>
      <c r="K21" s="170"/>
      <c r="L21" s="26"/>
    </row>
    <row r="22" spans="1:15" ht="14.25" thickBot="1" x14ac:dyDescent="0.25">
      <c r="A22" s="4"/>
      <c r="B22" s="175">
        <v>15</v>
      </c>
      <c r="C22" s="4" t="s">
        <v>21</v>
      </c>
      <c r="D22" s="4" t="s">
        <v>22</v>
      </c>
      <c r="E22" s="165">
        <v>5.36</v>
      </c>
      <c r="F22" s="165">
        <v>2.99</v>
      </c>
      <c r="G22" s="165">
        <v>5.3890000000000002</v>
      </c>
      <c r="H22" s="171">
        <v>2.9445999999999999</v>
      </c>
      <c r="I22" s="165">
        <f t="shared" si="0"/>
        <v>5.464093523844868</v>
      </c>
      <c r="J22" s="172"/>
      <c r="K22" s="170"/>
      <c r="L22" s="26"/>
    </row>
    <row r="23" spans="1:15" ht="13.5" x14ac:dyDescent="0.2">
      <c r="A23" s="4"/>
      <c r="B23" s="167">
        <v>16</v>
      </c>
      <c r="C23" s="4" t="s">
        <v>21</v>
      </c>
      <c r="D23" s="4" t="s">
        <v>23</v>
      </c>
      <c r="E23" s="165">
        <v>2.17</v>
      </c>
      <c r="F23" s="165">
        <v>1.53</v>
      </c>
      <c r="G23" s="165">
        <v>2.282</v>
      </c>
      <c r="H23" s="171">
        <v>1.5875999999999999</v>
      </c>
      <c r="I23" s="165">
        <f t="shared" si="0"/>
        <v>6.9570552147239262</v>
      </c>
      <c r="J23" s="169"/>
      <c r="K23" s="170"/>
      <c r="L23" s="26"/>
      <c r="O23">
        <f>8940.58-8941.34</f>
        <v>-0.76000000000021828</v>
      </c>
    </row>
    <row r="24" spans="1:15" ht="13.5" x14ac:dyDescent="0.2">
      <c r="A24" s="5"/>
      <c r="B24" s="176">
        <v>17</v>
      </c>
      <c r="C24" s="4" t="s">
        <v>77</v>
      </c>
      <c r="D24" s="4" t="s">
        <v>24</v>
      </c>
      <c r="E24" s="165">
        <v>0.06</v>
      </c>
      <c r="F24" s="165">
        <v>7.0000000000000007E-2</v>
      </c>
      <c r="G24" s="165">
        <v>0.08</v>
      </c>
      <c r="H24" s="166">
        <v>8.48E-2</v>
      </c>
      <c r="I24" s="165">
        <f t="shared" si="0"/>
        <v>10.600000000000001</v>
      </c>
      <c r="J24" s="173"/>
      <c r="K24" s="36"/>
      <c r="L24" s="36"/>
    </row>
    <row r="25" spans="1:15" ht="22.5" x14ac:dyDescent="0.2">
      <c r="A25" s="46"/>
      <c r="B25" s="177">
        <v>18</v>
      </c>
      <c r="C25" s="4" t="s">
        <v>78</v>
      </c>
      <c r="D25" s="4" t="s">
        <v>76</v>
      </c>
      <c r="E25" s="165">
        <v>0</v>
      </c>
      <c r="F25" s="165">
        <v>0</v>
      </c>
      <c r="G25" s="165"/>
      <c r="H25" s="166"/>
      <c r="I25" s="165" t="e">
        <f t="shared" si="0"/>
        <v>#DIV/0!</v>
      </c>
      <c r="J25" s="173"/>
      <c r="K25" s="36"/>
      <c r="L25" s="36"/>
    </row>
    <row r="26" spans="1:15" ht="14.25" thickBot="1" x14ac:dyDescent="0.25">
      <c r="B26" s="176"/>
      <c r="C26" s="361" t="s">
        <v>25</v>
      </c>
      <c r="D26" s="353"/>
      <c r="E26" s="178">
        <f>SUM(E8:E25)</f>
        <v>265.70000000000005</v>
      </c>
      <c r="F26" s="178">
        <f>SUM(F8:F25)</f>
        <v>173.83800000000002</v>
      </c>
      <c r="G26" s="178">
        <f>SUM(G8:G25)</f>
        <v>267.35399999999998</v>
      </c>
      <c r="H26" s="178">
        <f>SUM(H8:H25)</f>
        <v>156.50990000000002</v>
      </c>
      <c r="I26" s="178">
        <f t="shared" si="0"/>
        <v>5.8540324812795035</v>
      </c>
      <c r="J26" s="179"/>
      <c r="K26" s="82"/>
      <c r="L26" s="135"/>
      <c r="M26" s="8">
        <f>G26-8940.58</f>
        <v>-8673.2260000000006</v>
      </c>
    </row>
    <row r="27" spans="1:15" ht="12.75" customHeight="1" x14ac:dyDescent="0.2">
      <c r="B27" s="167">
        <v>1</v>
      </c>
      <c r="C27" s="6" t="s">
        <v>26</v>
      </c>
      <c r="D27" s="6" t="s">
        <v>27</v>
      </c>
      <c r="E27" s="161">
        <v>7.06</v>
      </c>
      <c r="F27" s="161">
        <v>4.33</v>
      </c>
      <c r="G27" s="161">
        <v>8.6630000000000003</v>
      </c>
      <c r="H27" s="180">
        <v>4.8765999999999998</v>
      </c>
      <c r="I27" s="161">
        <f t="shared" si="0"/>
        <v>5.6292277502020083</v>
      </c>
      <c r="J27" s="181"/>
      <c r="K27" s="164"/>
      <c r="L27" s="30"/>
    </row>
    <row r="28" spans="1:15" ht="23.25" customHeight="1" x14ac:dyDescent="0.2">
      <c r="B28" s="167">
        <v>2</v>
      </c>
      <c r="C28" s="4" t="s">
        <v>101</v>
      </c>
      <c r="D28" s="4" t="s">
        <v>133</v>
      </c>
      <c r="E28" s="165">
        <v>13.47</v>
      </c>
      <c r="F28" s="165">
        <v>10.88</v>
      </c>
      <c r="G28" s="165">
        <v>11.141</v>
      </c>
      <c r="H28" s="171">
        <v>8.2652999999999999</v>
      </c>
      <c r="I28" s="165">
        <f t="shared" si="0"/>
        <v>7.4188133919755863</v>
      </c>
      <c r="J28" s="169"/>
      <c r="K28" s="170"/>
      <c r="L28" s="26"/>
    </row>
    <row r="29" spans="1:15" ht="13.5" x14ac:dyDescent="0.2">
      <c r="B29" s="167">
        <v>3</v>
      </c>
      <c r="C29" s="4" t="s">
        <v>103</v>
      </c>
      <c r="D29" s="4" t="s">
        <v>104</v>
      </c>
      <c r="E29" s="165">
        <v>0.53</v>
      </c>
      <c r="F29" s="165">
        <v>0.56000000000000005</v>
      </c>
      <c r="G29" s="165">
        <v>0.66100000000000003</v>
      </c>
      <c r="H29" s="171">
        <v>0.67149999999999999</v>
      </c>
      <c r="I29" s="165">
        <f t="shared" si="0"/>
        <v>10.158850226928895</v>
      </c>
      <c r="J29" s="169"/>
      <c r="K29" s="170"/>
      <c r="L29" s="26"/>
    </row>
    <row r="30" spans="1:15" ht="22.5" x14ac:dyDescent="0.2">
      <c r="B30" s="167">
        <v>4</v>
      </c>
      <c r="C30" s="4" t="s">
        <v>65</v>
      </c>
      <c r="D30" s="13" t="s">
        <v>67</v>
      </c>
      <c r="E30" s="165">
        <v>0.14000000000000001</v>
      </c>
      <c r="F30" s="165">
        <v>0.14000000000000001</v>
      </c>
      <c r="G30" s="165">
        <v>0.112</v>
      </c>
      <c r="H30" s="171">
        <v>0.13220000000000001</v>
      </c>
      <c r="I30" s="165">
        <f t="shared" si="0"/>
        <v>11.803571428571429</v>
      </c>
      <c r="J30" s="172"/>
      <c r="K30" s="170"/>
      <c r="L30" s="26"/>
      <c r="O30" s="8">
        <f>G26-8940.58</f>
        <v>-8673.2260000000006</v>
      </c>
    </row>
    <row r="31" spans="1:15" ht="33.75" x14ac:dyDescent="0.2">
      <c r="B31" s="167">
        <v>5</v>
      </c>
      <c r="C31" s="4" t="s">
        <v>66</v>
      </c>
      <c r="D31" s="13" t="s">
        <v>68</v>
      </c>
      <c r="E31" s="165">
        <v>0.36</v>
      </c>
      <c r="F31" s="165">
        <v>0.33</v>
      </c>
      <c r="G31" s="165">
        <v>0.36599999999999999</v>
      </c>
      <c r="H31" s="171">
        <v>0.31869999999999998</v>
      </c>
      <c r="I31" s="165">
        <f t="shared" si="0"/>
        <v>8.7076502732240435</v>
      </c>
      <c r="J31" s="172"/>
      <c r="K31" s="170"/>
      <c r="L31" s="26"/>
    </row>
    <row r="32" spans="1:15" ht="33.75" customHeight="1" x14ac:dyDescent="0.2">
      <c r="B32" s="167">
        <v>6</v>
      </c>
      <c r="C32" s="4" t="s">
        <v>30</v>
      </c>
      <c r="D32" s="4" t="s">
        <v>107</v>
      </c>
      <c r="E32" s="165">
        <v>2.2200000000000002</v>
      </c>
      <c r="F32" s="165">
        <v>0.67</v>
      </c>
      <c r="G32" s="165">
        <v>1.91</v>
      </c>
      <c r="H32" s="171">
        <v>0.34079999999999999</v>
      </c>
      <c r="I32" s="165">
        <f t="shared" si="0"/>
        <v>1.7842931937172777</v>
      </c>
      <c r="J32" s="172"/>
      <c r="K32" s="170"/>
      <c r="L32" s="26"/>
    </row>
    <row r="33" spans="2:14" ht="49.5" customHeight="1" x14ac:dyDescent="0.2">
      <c r="B33" s="167">
        <v>7</v>
      </c>
      <c r="C33" s="4" t="s">
        <v>31</v>
      </c>
      <c r="D33" s="4" t="s">
        <v>108</v>
      </c>
      <c r="E33" s="165">
        <v>0</v>
      </c>
      <c r="F33" s="165">
        <v>0</v>
      </c>
      <c r="G33" s="165">
        <v>0</v>
      </c>
      <c r="H33" s="171">
        <v>0</v>
      </c>
      <c r="I33" s="165" t="e">
        <f t="shared" si="0"/>
        <v>#DIV/0!</v>
      </c>
      <c r="J33" s="172"/>
      <c r="K33" s="170"/>
      <c r="L33" s="26"/>
    </row>
    <row r="34" spans="2:14" ht="24.75" customHeight="1" x14ac:dyDescent="0.2">
      <c r="B34" s="167">
        <v>8</v>
      </c>
      <c r="C34" s="4" t="s">
        <v>37</v>
      </c>
      <c r="D34" s="4" t="s">
        <v>109</v>
      </c>
      <c r="E34" s="165">
        <v>0</v>
      </c>
      <c r="F34" s="165">
        <v>0</v>
      </c>
      <c r="G34" s="165">
        <v>0</v>
      </c>
      <c r="H34" s="171">
        <v>0</v>
      </c>
      <c r="I34" s="165" t="e">
        <f t="shared" si="0"/>
        <v>#DIV/0!</v>
      </c>
      <c r="J34" s="169"/>
      <c r="K34" s="170"/>
      <c r="L34" s="26"/>
    </row>
    <row r="35" spans="2:14" ht="55.9" customHeight="1" x14ac:dyDescent="0.2">
      <c r="B35" s="167">
        <v>9</v>
      </c>
      <c r="C35" s="4" t="s">
        <v>32</v>
      </c>
      <c r="D35" s="182" t="s">
        <v>56</v>
      </c>
      <c r="E35" s="165">
        <v>0</v>
      </c>
      <c r="F35" s="165">
        <v>0</v>
      </c>
      <c r="G35" s="165">
        <v>0</v>
      </c>
      <c r="H35" s="171">
        <v>0</v>
      </c>
      <c r="I35" s="165" t="e">
        <f t="shared" si="0"/>
        <v>#DIV/0!</v>
      </c>
      <c r="J35" s="169"/>
      <c r="K35" s="170"/>
      <c r="L35" s="26"/>
    </row>
    <row r="36" spans="2:14" ht="13.5" x14ac:dyDescent="0.2">
      <c r="B36" s="167">
        <v>10</v>
      </c>
      <c r="C36" s="4" t="s">
        <v>110</v>
      </c>
      <c r="D36" s="13" t="s">
        <v>111</v>
      </c>
      <c r="E36" s="165">
        <v>0</v>
      </c>
      <c r="F36" s="165">
        <v>0</v>
      </c>
      <c r="G36" s="165">
        <v>0</v>
      </c>
      <c r="H36" s="171">
        <v>0</v>
      </c>
      <c r="I36" s="165" t="e">
        <f t="shared" si="0"/>
        <v>#DIV/0!</v>
      </c>
      <c r="J36" s="172"/>
      <c r="K36" s="170"/>
      <c r="L36" s="26"/>
    </row>
    <row r="37" spans="2:14" ht="14.25" thickBot="1" x14ac:dyDescent="0.25">
      <c r="B37" s="175">
        <v>11</v>
      </c>
      <c r="C37" s="5" t="s">
        <v>63</v>
      </c>
      <c r="D37" s="86" t="s">
        <v>24</v>
      </c>
      <c r="E37" s="165">
        <v>0</v>
      </c>
      <c r="F37" s="165">
        <v>0</v>
      </c>
      <c r="G37" s="183">
        <v>0</v>
      </c>
      <c r="H37" s="184">
        <v>0</v>
      </c>
      <c r="I37" s="183" t="e">
        <f t="shared" si="0"/>
        <v>#DIV/0!</v>
      </c>
      <c r="J37" s="185"/>
      <c r="K37" s="186"/>
      <c r="L37" s="39"/>
      <c r="M37" s="79"/>
      <c r="N37" s="79"/>
    </row>
    <row r="38" spans="2:14" ht="13.5" thickBot="1" x14ac:dyDescent="0.25">
      <c r="B38" s="187"/>
      <c r="C38" s="335" t="s">
        <v>34</v>
      </c>
      <c r="D38" s="336"/>
      <c r="E38" s="188">
        <f>SUM(E27:E37)</f>
        <v>23.78</v>
      </c>
      <c r="F38" s="188">
        <f>SUM(F27:F37)</f>
        <v>16.910000000000004</v>
      </c>
      <c r="G38" s="188">
        <f>SUM(G27:G37)</f>
        <v>22.853000000000002</v>
      </c>
      <c r="H38" s="188">
        <f>SUM(H27:H37)</f>
        <v>14.605099999999998</v>
      </c>
      <c r="I38" s="188">
        <f t="shared" si="0"/>
        <v>6.3908895987397702</v>
      </c>
      <c r="J38" s="189"/>
      <c r="K38" s="93"/>
      <c r="L38" s="42"/>
      <c r="M38" s="79"/>
      <c r="N38" s="79"/>
    </row>
    <row r="39" spans="2:14" ht="15.75" thickBot="1" x14ac:dyDescent="0.25">
      <c r="B39" s="190"/>
      <c r="C39" s="362" t="s">
        <v>57</v>
      </c>
      <c r="D39" s="363"/>
      <c r="E39" s="191">
        <f>SUM(E26:E37)</f>
        <v>289.48000000000008</v>
      </c>
      <c r="F39" s="188">
        <f>F38+F26</f>
        <v>190.74800000000002</v>
      </c>
      <c r="G39" s="192">
        <f>SUM(G26:G37)</f>
        <v>290.20700000000005</v>
      </c>
      <c r="H39" s="192">
        <f>SUM(H26:H37)</f>
        <v>171.11500000000004</v>
      </c>
      <c r="I39" s="192">
        <f t="shared" si="0"/>
        <v>5.8963084970383219</v>
      </c>
      <c r="J39" s="193"/>
      <c r="K39" s="194"/>
      <c r="L39" s="195"/>
      <c r="M39" s="79"/>
      <c r="N39" s="79"/>
    </row>
    <row r="40" spans="2:14" x14ac:dyDescent="0.2">
      <c r="B40" s="196"/>
      <c r="C40" s="337" t="s">
        <v>39</v>
      </c>
      <c r="D40" s="337"/>
      <c r="E40" s="161"/>
      <c r="F40" s="161"/>
      <c r="G40" s="161"/>
      <c r="H40" s="197">
        <v>2.9163000000000001</v>
      </c>
      <c r="I40" s="198"/>
      <c r="J40" s="199"/>
      <c r="K40" s="99"/>
      <c r="L40" s="200"/>
      <c r="M40" s="79"/>
      <c r="N40" s="79"/>
    </row>
    <row r="41" spans="2:14" ht="21" customHeight="1" thickBot="1" x14ac:dyDescent="0.25">
      <c r="B41" s="201"/>
      <c r="C41" s="364" t="s">
        <v>134</v>
      </c>
      <c r="D41" s="365"/>
      <c r="E41" s="183">
        <v>29.4</v>
      </c>
      <c r="F41" s="183">
        <v>19.28</v>
      </c>
      <c r="G41" s="183">
        <v>12.715</v>
      </c>
      <c r="H41" s="202"/>
      <c r="I41" s="203"/>
      <c r="J41" s="204"/>
      <c r="K41" s="111"/>
      <c r="L41" s="205"/>
      <c r="M41" s="79"/>
      <c r="N41" s="79"/>
    </row>
    <row r="42" spans="2:14" ht="13.5" thickBot="1" x14ac:dyDescent="0.25">
      <c r="B42" s="206"/>
      <c r="C42" s="335" t="s">
        <v>36</v>
      </c>
      <c r="D42" s="336"/>
      <c r="E42" s="188">
        <f>E39+E40+E41</f>
        <v>318.88000000000005</v>
      </c>
      <c r="F42" s="188">
        <f>F39+F40+F41</f>
        <v>210.02800000000002</v>
      </c>
      <c r="G42" s="188">
        <f>G40+G39+G41</f>
        <v>302.92200000000003</v>
      </c>
      <c r="H42" s="188">
        <f>H40+H39+H41</f>
        <v>174.03130000000004</v>
      </c>
      <c r="I42" s="192">
        <f>H42/G39*10</f>
        <v>5.996798836692431</v>
      </c>
      <c r="J42" s="207"/>
      <c r="K42" s="192"/>
      <c r="L42" s="208"/>
      <c r="M42" s="209"/>
      <c r="N42" s="79"/>
    </row>
    <row r="43" spans="2:14" x14ac:dyDescent="0.2">
      <c r="B43" s="9"/>
      <c r="C43" s="113"/>
      <c r="D43" s="113"/>
      <c r="E43" s="9"/>
      <c r="F43" s="14"/>
      <c r="G43" s="14"/>
      <c r="H43" s="9"/>
      <c r="I43" s="9"/>
      <c r="K43" s="79"/>
      <c r="L43" s="79"/>
      <c r="M43" s="79"/>
      <c r="N43" s="79"/>
    </row>
    <row r="44" spans="2:14" x14ac:dyDescent="0.2">
      <c r="B44" s="10" t="s">
        <v>135</v>
      </c>
      <c r="C44" s="116"/>
      <c r="D44" s="116"/>
      <c r="E44" s="10"/>
      <c r="F44" s="10"/>
      <c r="G44" s="10"/>
      <c r="H44" s="10"/>
      <c r="I44" s="9"/>
      <c r="K44" s="79"/>
      <c r="L44" s="79"/>
      <c r="M44" s="79"/>
      <c r="N44" s="79"/>
    </row>
    <row r="45" spans="2:14" x14ac:dyDescent="0.2">
      <c r="B45" s="10" t="s">
        <v>136</v>
      </c>
      <c r="C45" s="116"/>
      <c r="D45" s="116"/>
      <c r="E45" s="10"/>
      <c r="F45" s="10"/>
      <c r="G45" s="10"/>
      <c r="I45" s="9"/>
      <c r="K45" s="79"/>
      <c r="L45" s="79"/>
      <c r="M45" s="79"/>
      <c r="N45" s="79"/>
    </row>
    <row r="46" spans="2:14" ht="13.5" x14ac:dyDescent="0.25">
      <c r="B46" s="10" t="s">
        <v>137</v>
      </c>
      <c r="C46" s="10"/>
      <c r="D46" s="10"/>
      <c r="E46" s="10"/>
      <c r="F46" s="148"/>
      <c r="G46" s="148"/>
      <c r="K46" s="210" t="s">
        <v>138</v>
      </c>
      <c r="L46" s="79"/>
      <c r="M46" s="79"/>
      <c r="N46" s="79"/>
    </row>
    <row r="47" spans="2:14" x14ac:dyDescent="0.2">
      <c r="B47" s="150"/>
      <c r="C47" s="211"/>
      <c r="D47" s="211"/>
      <c r="E47" s="150"/>
      <c r="F47" s="150"/>
      <c r="G47" s="150"/>
      <c r="H47" s="150"/>
      <c r="K47" s="79"/>
      <c r="L47" s="79"/>
      <c r="M47" s="79"/>
      <c r="N47" s="79"/>
    </row>
    <row r="49" spans="4:5" hidden="1" x14ac:dyDescent="0.2">
      <c r="D49" t="s">
        <v>58</v>
      </c>
      <c r="E49" s="8">
        <f>H8+H10+H11+H36+H37</f>
        <v>17.331499999999998</v>
      </c>
    </row>
    <row r="50" spans="4:5" hidden="1" x14ac:dyDescent="0.2">
      <c r="D50" t="s">
        <v>59</v>
      </c>
      <c r="E50" s="8">
        <f>H14+H15+H29</f>
        <v>7.1779000000000002</v>
      </c>
    </row>
    <row r="51" spans="4:5" hidden="1" x14ac:dyDescent="0.2">
      <c r="D51" t="s">
        <v>60</v>
      </c>
      <c r="E51" s="8">
        <f>H20+H28</f>
        <v>8.2652999999999999</v>
      </c>
    </row>
    <row r="52" spans="4:5" hidden="1" x14ac:dyDescent="0.2">
      <c r="D52" t="s">
        <v>61</v>
      </c>
      <c r="E52" s="8">
        <f>H16+H17+H18+H19+H32+H33+H34+H35</f>
        <v>123.37950000000001</v>
      </c>
    </row>
    <row r="53" spans="4:5" hidden="1" x14ac:dyDescent="0.2">
      <c r="D53" t="s">
        <v>62</v>
      </c>
      <c r="E53" s="8">
        <f>H42-E49-E50-E51-E52</f>
        <v>17.877100000000041</v>
      </c>
    </row>
    <row r="54" spans="4:5" hidden="1" x14ac:dyDescent="0.2">
      <c r="D54" t="s">
        <v>57</v>
      </c>
      <c r="E54" s="8">
        <f>SUM(E49:E53)</f>
        <v>174.03130000000004</v>
      </c>
    </row>
  </sheetData>
  <mergeCells count="17">
    <mergeCell ref="C42:D42"/>
    <mergeCell ref="L6:L7"/>
    <mergeCell ref="C26:D26"/>
    <mergeCell ref="C38:D38"/>
    <mergeCell ref="C39:D39"/>
    <mergeCell ref="C40:D40"/>
    <mergeCell ref="C41:D41"/>
    <mergeCell ref="B3:I3"/>
    <mergeCell ref="B4:I4"/>
    <mergeCell ref="K5:L5"/>
    <mergeCell ref="B6:B7"/>
    <mergeCell ref="C6:C7"/>
    <mergeCell ref="D6:D7"/>
    <mergeCell ref="E6:F6"/>
    <mergeCell ref="I6:I7"/>
    <mergeCell ref="J6:J7"/>
    <mergeCell ref="K6:K7"/>
  </mergeCells>
  <pageMargins left="0.5" right="0" top="0.94" bottom="0.1" header="0.5" footer="0.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3:G14"/>
  <sheetViews>
    <sheetView workbookViewId="0">
      <selection activeCell="G11" sqref="G11"/>
    </sheetView>
  </sheetViews>
  <sheetFormatPr defaultRowHeight="12.75" x14ac:dyDescent="0.2"/>
  <sheetData>
    <row r="3" spans="2:7" x14ac:dyDescent="0.2">
      <c r="B3" s="8" t="e">
        <f>#REF!</f>
        <v>#REF!</v>
      </c>
      <c r="C3" s="8" t="e">
        <f>#REF!</f>
        <v>#REF!</v>
      </c>
      <c r="D3" s="8" t="e">
        <f>#REF!</f>
        <v>#REF!</v>
      </c>
      <c r="E3" s="8" t="e">
        <f>#REF!</f>
        <v>#REF!</v>
      </c>
      <c r="F3" s="8" t="e">
        <f>#REF!</f>
        <v>#REF!</v>
      </c>
      <c r="G3" s="8" t="e">
        <f>#REF!</f>
        <v>#REF!</v>
      </c>
    </row>
    <row r="4" spans="2:7" x14ac:dyDescent="0.2">
      <c r="B4" s="8" t="e">
        <f>#REF!</f>
        <v>#REF!</v>
      </c>
      <c r="C4" s="8" t="e">
        <f>#REF!</f>
        <v>#REF!</v>
      </c>
      <c r="D4" s="8" t="e">
        <f>#REF!</f>
        <v>#REF!</v>
      </c>
      <c r="E4" s="8" t="e">
        <f>#REF!</f>
        <v>#REF!</v>
      </c>
      <c r="F4" s="8" t="e">
        <f>#REF!</f>
        <v>#REF!</v>
      </c>
      <c r="G4" s="8" t="e">
        <f>#REF!</f>
        <v>#REF!</v>
      </c>
    </row>
    <row r="5" spans="2:7" x14ac:dyDescent="0.2">
      <c r="B5" s="8" t="e">
        <f>#REF!</f>
        <v>#REF!</v>
      </c>
      <c r="C5" s="8" t="e">
        <f>#REF!</f>
        <v>#REF!</v>
      </c>
      <c r="D5" s="8" t="e">
        <f>#REF!</f>
        <v>#REF!</v>
      </c>
      <c r="E5" s="8" t="e">
        <f>#REF!</f>
        <v>#REF!</v>
      </c>
      <c r="F5" s="8" t="e">
        <f>#REF!</f>
        <v>#REF!</v>
      </c>
      <c r="G5" s="8" t="e">
        <f>#REF!</f>
        <v>#REF!</v>
      </c>
    </row>
    <row r="6" spans="2:7" x14ac:dyDescent="0.2"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</row>
    <row r="7" spans="2:7" x14ac:dyDescent="0.2">
      <c r="B7" s="8" t="e">
        <f>#REF!</f>
        <v>#REF!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</row>
    <row r="8" spans="2:7" x14ac:dyDescent="0.2"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</row>
    <row r="9" spans="2:7" x14ac:dyDescent="0.2">
      <c r="B9" s="8" t="e">
        <f>#REF!</f>
        <v>#REF!</v>
      </c>
      <c r="C9" s="8" t="e">
        <f>#REF!</f>
        <v>#REF!</v>
      </c>
      <c r="D9" s="8" t="e">
        <f>#REF!</f>
        <v>#REF!</v>
      </c>
      <c r="E9" s="8" t="e">
        <f>#REF!</f>
        <v>#REF!</v>
      </c>
      <c r="F9" s="8" t="e">
        <f>#REF!</f>
        <v>#REF!</v>
      </c>
      <c r="G9" s="8" t="e">
        <f>#REF!</f>
        <v>#REF!</v>
      </c>
    </row>
    <row r="10" spans="2:7" x14ac:dyDescent="0.2">
      <c r="B10" s="8" t="e">
        <f>#REF!</f>
        <v>#REF!</v>
      </c>
      <c r="C10" s="8" t="e">
        <f>#REF!</f>
        <v>#REF!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8" t="e">
        <f>#REF!</f>
        <v>#REF!</v>
      </c>
    </row>
    <row r="11" spans="2:7" x14ac:dyDescent="0.2">
      <c r="B11" s="8" t="e">
        <f>#REF!</f>
        <v>#REF!</v>
      </c>
      <c r="C11" s="8" t="e">
        <f>#REF!</f>
        <v>#REF!</v>
      </c>
      <c r="D11" s="8" t="e">
        <f>#REF!</f>
        <v>#REF!</v>
      </c>
      <c r="E11" s="8" t="e">
        <f>#REF!</f>
        <v>#REF!</v>
      </c>
      <c r="F11" s="8" t="e">
        <f>#REF!</f>
        <v>#REF!</v>
      </c>
      <c r="G11" s="8" t="e">
        <f>#REF!</f>
        <v>#REF!</v>
      </c>
    </row>
    <row r="12" spans="2:7" x14ac:dyDescent="0.2">
      <c r="B12" s="8"/>
      <c r="C12" s="8"/>
      <c r="D12" s="8"/>
      <c r="E12" s="8"/>
      <c r="F12" s="8"/>
      <c r="G12" s="8"/>
    </row>
    <row r="13" spans="2:7" x14ac:dyDescent="0.2">
      <c r="B13" s="8"/>
      <c r="C13" s="8"/>
      <c r="D13" s="8"/>
      <c r="E13" s="8"/>
      <c r="F13" s="8"/>
      <c r="G13" s="8"/>
    </row>
    <row r="14" spans="2:7" x14ac:dyDescent="0.2">
      <c r="B14" s="8"/>
      <c r="C14" s="8"/>
      <c r="D14" s="8"/>
      <c r="E14" s="8"/>
      <c r="F14" s="8"/>
      <c r="G14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93382E14F5428E565038D811F112" ma:contentTypeVersion="0" ma:contentTypeDescription="Create a new document." ma:contentTypeScope="" ma:versionID="15ff5641dd28b23e85b7abd68358e375">
  <xsd:schema xmlns:xsd="http://www.w3.org/2001/XMLSchema" xmlns:xs="http://www.w3.org/2001/XMLSchema" xmlns:p="http://schemas.microsoft.com/office/2006/metadata/properties" xmlns:ns2="a4377912-4439-4a3f-9962-3349b75809bd" targetNamespace="http://schemas.microsoft.com/office/2006/metadata/properties" ma:root="true" ma:fieldsID="b66cc08790323bafcbce1bc6bd0bb0af" ns2:_="">
    <xsd:import namespace="a4377912-4439-4a3f-9962-3349b75809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7912-4439-4a3f-9962-3349b75809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CF56A-EBEE-44FC-A564-11386D667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77912-4439-4a3f-9962-3349b7580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0060D5-1B58-48C9-8677-D98D604DAF2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24F80E9-C623-4722-8930-413C5A5ECF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90A8F1-B972-45F2-93BD-6CEFA8E7D83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6FBA6C8-C675-41DA-B2D8-7836E3F79F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MESCOM (2)</vt:lpstr>
      <vt:lpstr>MESCOM</vt:lpstr>
      <vt:lpstr>CESC</vt:lpstr>
      <vt:lpstr>HESCOM</vt:lpstr>
      <vt:lpstr>GESCOM</vt:lpstr>
      <vt:lpstr>Consolidated</vt:lpstr>
      <vt:lpstr>HRECS</vt:lpstr>
      <vt:lpstr>Sheet1</vt:lpstr>
      <vt:lpstr>CESC!Print_Area</vt:lpstr>
      <vt:lpstr>Consolidated!Print_Area</vt:lpstr>
      <vt:lpstr>GESCOM!Print_Area</vt:lpstr>
      <vt:lpstr>HESCOM!Print_Area</vt:lpstr>
      <vt:lpstr>HRECS!Print_Area</vt:lpstr>
      <vt:lpstr>MESCOM!Print_Area</vt:lpstr>
      <vt:lpstr>'MESCOM (2)'!Print_Area</vt:lpstr>
    </vt:vector>
  </TitlesOfParts>
  <Company>kerc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</dc:creator>
  <cp:lastModifiedBy>cloudconvert_21</cp:lastModifiedBy>
  <cp:lastPrinted>2020-11-03T05:28:24Z</cp:lastPrinted>
  <dcterms:created xsi:type="dcterms:W3CDTF">2011-10-02T12:46:29Z</dcterms:created>
  <dcterms:modified xsi:type="dcterms:W3CDTF">2023-03-07T10:09:35Z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WSF2252CAUN4-2550-285</vt:lpwstr>
  </property>
  <property fmtid="{D5CDD505-2E9C-101B-9397-08002B2CF9AE}" pid="3" name="_dlc_DocIdItemGuid">
    <vt:lpwstr>7d9f3d2a-f406-4dd4-a178-49a995416bb0</vt:lpwstr>
  </property>
  <property fmtid="{D5CDD505-2E9C-101B-9397-08002B2CF9AE}" pid="4" name="_dlc_DocIdUrl">
    <vt:lpwstr>https://karunadu.karnataka.gov.in/kerc/_layouts/15/DocIdRedir.aspx?ID=WSF2252CAUN4-2550-285, WSF2252CAUN4-2550-285</vt:lpwstr>
  </property>
</Properties>
</file>